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À lire" sheetId="1" state="visible" r:id="rId1"/>
    <sheet name="Diligence LDét (3.7)" sheetId="2" state="visible" r:id="rId2"/>
    <sheet name="Seuils météo (3.8)" sheetId="3" state="visible" r:id="rId3"/>
    <sheet name="Intempéries ICI (3.8)" sheetId="4" state="visible" r:id="rId4"/>
    <sheet name="Sinistres RC-ATC (3.9)" sheetId="5" state="visible" r:id="rId5"/>
    <sheet name="Cautionnement SIA 118 (3.10)" sheetId="6" state="visible" r:id="rId6"/>
    <sheet name="Temps unitaires (3.11)" sheetId="7" state="visible" r:id="rId7"/>
  </sheets>
  <definedNames/>
  <calcPr calcId="124519" fullCalcOnLoad="1"/>
</workbook>
</file>

<file path=xl/styles.xml><?xml version="1.0" encoding="utf-8"?>
<styleSheet xmlns="http://schemas.openxmlformats.org/spreadsheetml/2006/main">
  <numFmts count="5">
    <numFmt numFmtId="164" formatCode="0.0"/>
    <numFmt numFmtId="165" formatCode="yyyy-mm-dd"/>
    <numFmt numFmtId="166" formatCode="dd.mm.yyyy"/>
    <numFmt numFmtId="167" formatCode="0.000"/>
    <numFmt numFmtId="168" formatCode="0.0000"/>
  </numFmts>
  <fonts count="7">
    <font>
      <name val="Calibri"/>
      <family val="2"/>
      <color theme="1"/>
      <sz val="11"/>
      <scheme val="minor"/>
    </font>
    <font>
      <name val="Calibri"/>
      <b val="1"/>
      <color rgb="001E293B"/>
      <sz val="16"/>
    </font>
    <font>
      <name val="Calibri"/>
      <i val="1"/>
      <color rgb="0064748B"/>
      <sz val="10"/>
    </font>
    <font>
      <name val="Calibri"/>
      <color rgb="001E293B"/>
      <sz val="10"/>
    </font>
    <font>
      <name val="Calibri"/>
      <b val="1"/>
      <color rgb="001E293B"/>
      <sz val="10"/>
    </font>
    <font>
      <name val="Calibri"/>
      <b val="1"/>
      <color rgb="001D4ED8"/>
      <sz val="10"/>
    </font>
    <font>
      <name val="Calibri"/>
      <b val="1"/>
      <color rgb="00FFFFFF"/>
      <sz val="10"/>
    </font>
  </fonts>
  <fills count="5">
    <fill>
      <patternFill/>
    </fill>
    <fill>
      <patternFill patternType="gray125"/>
    </fill>
    <fill>
      <patternFill patternType="solid">
        <fgColor rgb="00FFFBEB"/>
      </patternFill>
    </fill>
    <fill>
      <patternFill patternType="solid">
        <fgColor rgb="002563EB"/>
      </patternFill>
    </fill>
    <fill>
      <patternFill patternType="solid">
        <fgColor rgb="00DBEAFE"/>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1" fontId="5" fillId="2" borderId="1" pivotButton="0" quotePrefix="0" xfId="0"/>
    <xf numFmtId="4" fontId="5" fillId="2" borderId="1" pivotButton="0" quotePrefix="0" xfId="0"/>
    <xf numFmtId="164" fontId="5" fillId="2" borderId="1" pivotButton="0" quotePrefix="0" xfId="0"/>
    <xf numFmtId="0" fontId="6" fillId="3" borderId="0" applyAlignment="1" pivotButton="0" quotePrefix="0" xfId="0">
      <alignment horizontal="center" vertical="center" wrapText="1"/>
    </xf>
    <xf numFmtId="1" fontId="3" fillId="0" borderId="0" applyAlignment="1" pivotButton="0" quotePrefix="0" xfId="0">
      <alignment vertical="top" wrapText="1"/>
    </xf>
    <xf numFmtId="1" fontId="4" fillId="4" borderId="1" pivotButton="0" quotePrefix="0" xfId="0"/>
    <xf numFmtId="4" fontId="4" fillId="4" borderId="1" pivotButton="0" quotePrefix="0" xfId="0"/>
    <xf numFmtId="0" fontId="4" fillId="4" borderId="1" pivotButton="0" quotePrefix="0" xfId="0"/>
    <xf numFmtId="2" fontId="5" fillId="2" borderId="1" pivotButton="0" quotePrefix="0" xfId="0"/>
    <xf numFmtId="166" fontId="5" fillId="2" borderId="1" pivotButton="0" quotePrefix="0" xfId="0"/>
    <xf numFmtId="164" fontId="4" fillId="4" borderId="1" pivotButton="0" quotePrefix="0" xfId="0"/>
    <xf numFmtId="166" fontId="4" fillId="4" borderId="1" pivotButton="0" quotePrefix="0" xfId="0"/>
    <xf numFmtId="167" fontId="5" fillId="2" borderId="1" pivotButton="0" quotePrefix="0" xfId="0"/>
    <xf numFmtId="168" fontId="4" fillId="4" borderId="1" pivotButton="0" quotePrefix="0" xfId="0"/>
    <xf numFmtId="0" fontId="4" fillId="0" borderId="0" pivotButton="0" quotePrefix="0" xfId="0"/>
    <xf numFmtId="2"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50" customWidth="1" min="1" max="1"/>
  </cols>
  <sheetData>
    <row r="1">
      <c r="A1" s="1" t="inlineStr">
        <is>
          <t>ACIP 2026 : contrats, juridique et gestion de chantier (suite du Pilier 3)</t>
        </is>
      </c>
    </row>
    <row r="2">
      <c r="A2" s="2" t="inlineStr">
        <is>
          <t>Art Construction Index de Prix · art-construction.ch/outils/ · classeur de référence des outils 3.7 à 3.11</t>
        </is>
      </c>
    </row>
    <row r="3">
      <c r="A3" s="3" t="inlineStr"/>
    </row>
    <row r="4">
      <c r="A4" s="4" t="inlineStr">
        <is>
          <t>Contenu</t>
        </is>
      </c>
    </row>
    <row r="5">
      <c r="A5" s="3" t="inlineStr">
        <is>
          <t>• Diligence LDét (3.7) : les 8 preuves du devoir de diligence de l'entrepreneur contractant, score de conformité et salaires minimaux en jeu.</t>
        </is>
      </c>
    </row>
    <row r="6">
      <c r="A6" s="3" t="inlineStr">
        <is>
          <t>• Seuils météo (3.8) : repères d'arrêt par corps de métier. Intempéries ICI (3.8) : indemnité de la caisse de chômage, délai d'attente, date butoir.</t>
        </is>
      </c>
    </row>
    <row r="7">
      <c r="A7" s="3" t="inlineStr">
        <is>
          <t>• Sinistres RC-ATC (3.9) : qui paie, selon vos extensions et votre police ATC. Cautionnement SIA 118 (3.10) : retenue, cautionnement et comparatif de trésorerie.</t>
        </is>
      </c>
    </row>
    <row r="8">
      <c r="A8" s="3" t="inlineStr">
        <is>
          <t>• Temps unitaires (3.11) : 21 ouvrages, heures et budget, coefficient multiplicateur et prix de vente.</t>
        </is>
      </c>
    </row>
    <row r="9">
      <c r="A9" s="3" t="inlineStr"/>
    </row>
    <row r="10">
      <c r="A10" s="4" t="inlineStr">
        <is>
          <t>Avertissement</t>
        </is>
      </c>
    </row>
    <row r="11">
      <c r="A11" s="3" t="inlineStr">
        <is>
          <t>Sources : LDét, ODét, LACI, OACI et norme SIA 118 (édition 2013). Les seuils météo sont des repères d'usage ; dix des temps unitaires viennent du cahier des charges de l'outil, les autres sont indicatifs. Information indicative qui ne remplace pas l'avis d'un juriste, de votre assureur ou de votre caisse de chômage.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showGridLines="0" workbookViewId="0">
      <selection activeCell="A1" sqref="A1"/>
    </sheetView>
  </sheetViews>
  <sheetFormatPr baseColWidth="8" defaultRowHeight="15"/>
  <cols>
    <col width="66" customWidth="1" min="1" max="1"/>
    <col width="70" customWidth="1" min="2" max="2"/>
    <col width="38" customWidth="1" min="3" max="3"/>
    <col width="14" customWidth="1" min="4" max="4"/>
    <col width="14" customWidth="1" min="5" max="5"/>
  </cols>
  <sheetData>
    <row r="1">
      <c r="A1" s="5" t="inlineStr">
        <is>
          <t>3.7 · Contrôle des sous-traitants : devoir de diligence (art. 5 LDét, art. 8b et 8c ODét)</t>
        </is>
      </c>
    </row>
    <row r="2">
      <c r="A2" s="6" t="inlineStr">
        <is>
          <t>Cellules jaunes = à saisir. Score = preuves vérifiées / preuves applicables. La 8e preuve ne vaut que pour une entreprise étrangère.</t>
        </is>
      </c>
    </row>
    <row r="4">
      <c r="A4" s="3" t="inlineStr">
        <is>
          <t>Profil du sous-traitant (1 = entreprise étrangère détachant du personnel, 0 = entreprise suisse)</t>
        </is>
      </c>
      <c r="B4" s="7" t="n">
        <v>1</v>
      </c>
    </row>
    <row r="5">
      <c r="A5" s="3" t="inlineStr">
        <is>
          <t>Montant du contrat de sous-traitance HT (CHF)</t>
        </is>
      </c>
      <c r="B5" s="8" t="n">
        <v>250000</v>
      </c>
    </row>
    <row r="6">
      <c r="A6" s="3" t="inlineStr">
        <is>
          <t>Part de main-d'œuvre estimée dans le contrat (%)</t>
        </is>
      </c>
      <c r="B6" s="9" t="n">
        <v>45</v>
      </c>
    </row>
    <row r="8">
      <c r="A8" s="10" t="inlineStr">
        <is>
          <t>N°</t>
        </is>
      </c>
      <c r="B8" s="10" t="inlineStr">
        <is>
          <t>Preuve à archiver</t>
        </is>
      </c>
      <c r="C8" s="10" t="inlineStr">
        <is>
          <t>Base juridique</t>
        </is>
      </c>
      <c r="D8" s="10" t="inlineStr">
        <is>
          <t>Applicable (1/0)</t>
        </is>
      </c>
      <c r="E8" s="10" t="inlineStr">
        <is>
          <t>Vérifiée (1/0)</t>
        </is>
      </c>
    </row>
    <row r="9">
      <c r="A9" s="11" t="n">
        <v>1</v>
      </c>
      <c r="B9" s="3" t="inlineStr">
        <is>
          <t>Certificat CCT / registre professionnel à jour (ISAB / commission paritaire)</t>
        </is>
      </c>
      <c r="C9" s="3" t="inlineStr">
        <is>
          <t>art. 8b al. 1 ODét</t>
        </is>
      </c>
      <c r="D9" s="12" t="n">
        <v>1</v>
      </c>
      <c r="E9" s="7" t="n">
        <v>1</v>
      </c>
    </row>
    <row r="10">
      <c r="A10" s="11" t="n">
        <v>2</v>
      </c>
      <c r="B10" s="3" t="inlineStr">
        <is>
          <t>Attestation de paiement des cotisations AVS / AI / APG / AC (moins de 3 mois)</t>
        </is>
      </c>
      <c r="C10" s="3" t="inlineStr">
        <is>
          <t>bonne pratique (non exigée expressément par l'ODét)</t>
        </is>
      </c>
      <c r="D10" s="12" t="n">
        <v>1</v>
      </c>
      <c r="E10" s="7" t="n">
        <v>1</v>
      </c>
    </row>
    <row r="11">
      <c r="A11" s="11" t="n">
        <v>3</v>
      </c>
      <c r="B11" s="3" t="inlineStr">
        <is>
          <t>Attestation de paiement des primes SUVA (LAA) et IJM maladie</t>
        </is>
      </c>
      <c r="C11" s="3" t="inlineStr">
        <is>
          <t>bonne pratique</t>
        </is>
      </c>
      <c r="D11" s="12" t="n">
        <v>1</v>
      </c>
      <c r="E11" s="7" t="n">
        <v>1</v>
      </c>
    </row>
    <row r="12">
      <c r="A12" s="11" t="n">
        <v>4</v>
      </c>
      <c r="B12" s="3" t="inlineStr">
        <is>
          <t>Attestation de paiement de la prévoyance LPP (2e pilier) et de la retraite anticipée (FAR ou RESOR)</t>
        </is>
      </c>
      <c r="C12" s="3" t="inlineStr">
        <is>
          <t>art. 8b al. 1 ODét ; CCT de la branche</t>
        </is>
      </c>
      <c r="D12" s="12" t="n">
        <v>1</v>
      </c>
      <c r="E12" s="7" t="n">
        <v>1</v>
      </c>
    </row>
    <row r="13">
      <c r="A13" s="11" t="n">
        <v>5</v>
      </c>
      <c r="B13" s="3" t="inlineStr">
        <is>
          <t>Extrait de l'Office des poursuites et du Registre du commerce</t>
        </is>
      </c>
      <c r="C13" s="3" t="inlineStr">
        <is>
          <t>art. 8b al. 3 ODét ; bonne pratique</t>
        </is>
      </c>
      <c r="D13" s="12" t="n">
        <v>1</v>
      </c>
      <c r="E13" s="7" t="n">
        <v>0</v>
      </c>
    </row>
    <row r="14">
      <c r="A14" s="11" t="n">
        <v>6</v>
      </c>
      <c r="B14" s="3" t="inlineStr">
        <is>
          <t>Déclaration écrite signée par le sous-traitant (modèle SECO) garantissant le respect des salaires minimaux CCT, de la durée du travail et des indemnités repas / trajets</t>
        </is>
      </c>
      <c r="C14" s="3" t="inlineStr">
        <is>
          <t>art. 8b al. 1 et 2 ODét</t>
        </is>
      </c>
      <c r="D14" s="12" t="n">
        <v>1</v>
      </c>
      <c r="E14" s="7" t="n">
        <v>1</v>
      </c>
    </row>
    <row r="15">
      <c r="A15" s="11" t="n">
        <v>7</v>
      </c>
      <c r="B15" s="3" t="inlineStr">
        <is>
          <t>Clause contractuelle interdisant la sous-traitance au second degré (en chaîne) sans accord écrit préalable</t>
        </is>
      </c>
      <c r="C15" s="3" t="inlineStr">
        <is>
          <t>art. 8c ODét</t>
        </is>
      </c>
      <c r="D15" s="12" t="n">
        <v>1</v>
      </c>
      <c r="E15" s="7" t="n">
        <v>1</v>
      </c>
    </row>
    <row r="16">
      <c r="A16" s="11" t="n">
        <v>8</v>
      </c>
      <c r="B16" s="3" t="inlineStr">
        <is>
          <t>(Entreprise étrangère) Annonce en ligne 8 jours avant le début des travaux et preuve du dépôt de la caution CCT</t>
        </is>
      </c>
      <c r="C16" s="3" t="inlineStr">
        <is>
          <t>art. 6 LDét ; art. 6 ODét ; art. 2 al. 2ter LDét (caution)</t>
        </is>
      </c>
      <c r="D16" s="12">
        <f>B4</f>
        <v/>
      </c>
      <c r="E16" s="7" t="n">
        <v>0</v>
      </c>
    </row>
    <row r="18">
      <c r="A18" s="3" t="inlineStr">
        <is>
          <t>Preuves applicables</t>
        </is>
      </c>
      <c r="B18" s="12">
        <f>SUM(D9:D16)</f>
        <v/>
      </c>
    </row>
    <row r="19">
      <c r="A19" s="3" t="inlineStr">
        <is>
          <t>Preuves vérifiées parmi les applicables</t>
        </is>
      </c>
      <c r="B19" s="12">
        <f>D9*E9+D10*E10+D11*E11+D12*E12+D13*E13+D14*E14+D15*E15+D16*E16</f>
        <v/>
      </c>
    </row>
    <row r="20">
      <c r="A20" s="3" t="inlineStr">
        <is>
          <t>Score de conformité (%)</t>
        </is>
      </c>
      <c r="B20" s="12">
        <f>IF(B18&gt;0,INT((B19*200+B18)/(2*B18)),0)</f>
        <v/>
      </c>
    </row>
    <row r="21">
      <c r="A21" s="3" t="inlineStr">
        <is>
          <t>Salaires minimaux en jeu : montant du contrat × part de main-d'œuvre (CHF)</t>
        </is>
      </c>
      <c r="B21" s="13">
        <f>ROUND(B5*B6/100,2)</f>
        <v/>
      </c>
    </row>
    <row r="22">
      <c r="A22" s="3" t="inlineStr">
        <is>
          <t>Verdict</t>
        </is>
      </c>
      <c r="B22" s="14">
        <f>IF(B20&gt;=100,"ok",IF(B20&gt;=75,"partiel",IF(B20&gt;=50,"risque","critique")))</f>
        <v/>
      </c>
    </row>
    <row r="24">
      <c r="A24" s="3" t="inlineStr">
        <is>
          <t>Sanctions possibles si le devoir de diligence n'est pas rempli : amende de 5'000 CHF au plus ou interdiction d'offrir ses services en Suisse (1 à 5 ans), et frais de contrôle (art. 5 al. 4, art. 9 al. 2 let. d et g LDét).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showGridLines="0" workbookViewId="0">
      <selection activeCell="A1" sqref="A1"/>
    </sheetView>
  </sheetViews>
  <sheetFormatPr baseColWidth="8" defaultRowHeight="15"/>
  <cols>
    <col width="48" customWidth="1" min="1" max="1"/>
    <col width="60" customWidth="1" min="2" max="2"/>
    <col width="50" customWidth="1" min="3" max="3"/>
    <col width="40" customWidth="1" min="4" max="4"/>
  </cols>
  <sheetData>
    <row r="1">
      <c r="A1" s="5" t="inlineStr">
        <is>
          <t>3.8 · Seuils météorologiques de référence par corps de métier</t>
        </is>
      </c>
    </row>
    <row r="2">
      <c r="A2" s="6" t="inlineStr">
        <is>
          <t>Repères d'usage (règles de l'art SIA, recommandations SUVA, normes VSS, notices constructeur), pas des interdictions légales chiffrées : la notice du constructeur prime.</t>
        </is>
      </c>
    </row>
    <row r="4">
      <c r="A4" s="10" t="inlineStr">
        <is>
          <t>Corps de métier</t>
        </is>
      </c>
      <c r="B4" s="10" t="inlineStr">
        <is>
          <t>Température</t>
        </is>
      </c>
      <c r="C4" s="10" t="inlineStr">
        <is>
          <t>Vent (rafales)</t>
        </is>
      </c>
      <c r="D4" s="10" t="inlineStr">
        <is>
          <t>Pluie, neige, gel</t>
        </is>
      </c>
    </row>
    <row r="5">
      <c r="A5" s="3" t="inlineStr">
        <is>
          <t>Bétonnage et maçonnerie (SIA 262 / 266)</t>
        </is>
      </c>
      <c r="B5" s="3" t="inlineStr">
        <is>
          <t>De −3 °C à +5 °C : béton frais à +5 °C au moins (+10 °C si ciment &lt; 240 kg/m³) et cure thermique de 3 jours ; sous −3 °C : interdit sans chauffage</t>
        </is>
      </c>
      <c r="C5" s="3" t="inlineStr">
        <is>
          <t>50 km/h : arrêt de la manutention de grands panneaux de coffrage ; 72 km/h : arrêt du levage</t>
        </is>
      </c>
      <c r="D5" s="3" t="inlineStr">
        <is>
          <t>Arrêt du coulage non protégé ; jamais sur support gelé</t>
        </is>
      </c>
    </row>
    <row r="6">
      <c r="A6" s="3" t="inlineStr">
        <is>
          <t>Crépis, façades ITE, peinture extérieure (SIA 242 / 243 / 257)</t>
        </is>
      </c>
      <c r="B6" s="3" t="inlineStr">
        <is>
          <t>Sous +5 °C : arrêt ou mesures hivernales (abri chauffé)</t>
        </is>
      </c>
      <c r="C6" s="3" t="inlineStr">
        <is>
          <t>50 km/h : arrêt des nacelles ; 60 km/h : arrêt des échafaudages</t>
        </is>
      </c>
      <c r="D6" s="3" t="inlineStr">
        <is>
          <t>Arrêt (support humide, enneigé ou gelé)</t>
        </is>
      </c>
    </row>
    <row r="7">
      <c r="A7" s="3" t="inlineStr">
        <is>
          <t>Étanchéité toiture plate et bitume (SIA 271)</t>
        </is>
      </c>
      <c r="B7" s="3" t="inlineStr">
        <is>
          <t>Sous +5 °C : arrêt ou mesures hivernales (colles, résines, bitume)</t>
        </is>
      </c>
      <c r="C7" s="3" t="inlineStr">
        <is>
          <t>50 à 60 km/h : vigilance ; 60 km/h : arrêt en toiture</t>
        </is>
      </c>
      <c r="D7" s="3" t="inlineStr">
        <is>
          <t>Arrêt (support humide, enneigé ou gelé)</t>
        </is>
      </c>
    </row>
    <row r="8">
      <c r="A8" s="3" t="inlineStr">
        <is>
          <t>Grues à tour, nacelles PEMP, toitures (SUVA)</t>
        </is>
      </c>
      <c r="B8" s="3" t="inlineStr">
        <is>
          <t>—</t>
        </is>
      </c>
      <c r="C8" s="3" t="inlineStr">
        <is>
          <t>50 km/h : nacelles ; 60 km/h : mise en girouette des grues et arrêt en toiture ; 72 km/h : arrêt de tout levage</t>
        </is>
      </c>
      <c r="D8" s="3" t="inlineStr">
        <is>
          <t>Neige ou gel : arrêt en toiture et sur échafaudages</t>
        </is>
      </c>
    </row>
    <row r="9">
      <c r="A9" s="3" t="inlineStr">
        <is>
          <t>Terrassement et enrobés bitumineux (VSS)</t>
        </is>
      </c>
      <c r="B9" s="3" t="inlineStr">
        <is>
          <t>Sous 0 °C : arrêt de la pose d'enrobés ; de 0 à +5 °C : précautions</t>
        </is>
      </c>
      <c r="C9" s="3" t="inlineStr">
        <is>
          <t>—</t>
        </is>
      </c>
      <c r="D9" s="3" t="inlineStr">
        <is>
          <t>Pluie forte ou sol gelé : arrêt</t>
        </is>
      </c>
    </row>
    <row r="10">
      <c r="A10" s="3" t="inlineStr">
        <is>
          <t>Tous les métiers : fortes chaleurs</t>
        </is>
      </c>
      <c r="B10" s="3" t="inlineStr">
        <is>
          <t>30 à 33 °C : pauses à l'ombre de 15 min par heure, eau fraîche (4 à 5 L par ouvrier et par jour), horaires dès 06h00 ; dès 33 °C : évaluer l'arrêt des travaux lourds l'après-midi</t>
        </is>
      </c>
      <c r="C10" s="3" t="inlineStr">
        <is>
          <t>—</t>
        </is>
      </c>
      <c r="D10" s="3" t="inlineStr">
        <is>
          <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3"/>
  <sheetViews>
    <sheetView showGridLines="0" workbookViewId="0">
      <selection activeCell="A1" sqref="A1"/>
    </sheetView>
  </sheetViews>
  <sheetFormatPr baseColWidth="8" defaultRowHeight="15"/>
  <cols>
    <col width="78" customWidth="1" min="1" max="1"/>
    <col width="18" customWidth="1" min="2" max="2"/>
  </cols>
  <sheetData>
    <row r="1">
      <c r="A1" s="5" t="inlineStr">
        <is>
          <t>3.8 · Indemnité en cas d'intempéries (LACI art. 42 à 46, OACI art. 67a et 69)</t>
        </is>
      </c>
    </row>
    <row r="2">
      <c r="A2" s="6" t="inlineStr">
        <is>
          <t>Délai d'attente : 2 jours (6 premières périodes de décompte), 3 jours dès la 7e. Indemnité de 80 % du gain assuré (plafond 148'200 CHF par an). Avis au plus tard le 5 du mois suivant.</t>
        </is>
      </c>
    </row>
    <row r="4">
      <c r="A4" s="3" t="inlineStr">
        <is>
          <t>Nombre d'ouvriers à l'arrêt</t>
        </is>
      </c>
      <c r="B4" s="7" t="n">
        <v>8</v>
      </c>
    </row>
    <row r="5">
      <c r="A5" s="3" t="inlineStr">
        <is>
          <t>Salaire brut moyen horaire, 13e inclus (CHF)</t>
        </is>
      </c>
      <c r="B5" s="8" t="n">
        <v>40</v>
      </c>
    </row>
    <row r="6">
      <c r="A6" s="3" t="inlineStr">
        <is>
          <t>Heures normales par jour</t>
        </is>
      </c>
      <c r="B6" s="15" t="n">
        <v>8.25</v>
      </c>
    </row>
    <row r="7">
      <c r="A7" s="3" t="inlineStr">
        <is>
          <t>Jours d'arrêt météo dans la période (journées entières ou demi-journées : 0,5)</t>
        </is>
      </c>
      <c r="B7" s="9" t="n">
        <v>4</v>
      </c>
    </row>
    <row r="8">
      <c r="A8" s="3" t="inlineStr">
        <is>
          <t>Rang de la période de décompte (RHT et intempéries cumulées)</t>
        </is>
      </c>
      <c r="B8" s="7" t="n">
        <v>1</v>
      </c>
    </row>
    <row r="9">
      <c r="A9" s="3" t="inlineStr">
        <is>
          <t>Premier jour du mois civil de la perte de travail</t>
        </is>
      </c>
      <c r="B9" s="16" t="n">
        <v>46327</v>
      </c>
    </row>
    <row r="11">
      <c r="A11" s="3" t="inlineStr">
        <is>
          <t>Jours de carence à votre charge (art. 67a OACI)</t>
        </is>
      </c>
      <c r="B11" s="12">
        <f>IF(B8&gt;6,3,2)</f>
        <v/>
      </c>
    </row>
    <row r="12">
      <c r="A12" s="3" t="inlineStr">
        <is>
          <t>Jours indemnisés</t>
        </is>
      </c>
      <c r="B12" s="17">
        <f>MAX(0,B7-B11)</f>
        <v/>
      </c>
    </row>
    <row r="13">
      <c r="A13" s="3" t="inlineStr">
        <is>
          <t>Gain journalier par ouvrier (CHF)</t>
        </is>
      </c>
      <c r="B13" s="13">
        <f>B5*B6</f>
        <v/>
      </c>
    </row>
    <row r="14">
      <c r="A14" s="3" t="inlineStr">
        <is>
          <t>Plafond du gain journalier assuré : 148'200 / 12 / 21,7 (CHF)</t>
        </is>
      </c>
      <c r="B14" s="13">
        <f>148200/12/21.7</f>
        <v/>
      </c>
    </row>
    <row r="15">
      <c r="A15" s="3" t="inlineStr">
        <is>
          <t>Indemnité de la caisse : 80 % du gain assuré perdu (CHF)</t>
        </is>
      </c>
      <c r="B15" s="13">
        <f>ROUND(B4*B12*80/100*MIN(B13,B14),2)</f>
        <v/>
      </c>
    </row>
    <row r="16">
      <c r="A16" s="3" t="inlineStr">
        <is>
          <t>Remboursement de la part patronale AVS / AI / APG / AC, 6,40 % de l'indemnité (CHF)</t>
        </is>
      </c>
      <c r="B16" s="13">
        <f>ROUND(B15*6.4/100,2)</f>
        <v/>
      </c>
    </row>
    <row r="17">
      <c r="A17" s="3" t="inlineStr">
        <is>
          <t>Total versé par la caisse (CHF)</t>
        </is>
      </c>
      <c r="B17" s="13">
        <f>B15+B16</f>
        <v/>
      </c>
    </row>
    <row r="18">
      <c r="A18" s="3" t="inlineStr">
        <is>
          <t>Jours de carence à 100 % à la charge de l'employeur (CHF)</t>
        </is>
      </c>
      <c r="B18" s="13">
        <f>ROUND(B4*MIN(B7,B11)*B13,2)</f>
        <v/>
      </c>
    </row>
    <row r="19">
      <c r="A19" s="3" t="inlineStr">
        <is>
          <t>Salaires concernés par l'arrêt (CHF)</t>
        </is>
      </c>
      <c r="B19" s="13">
        <f>ROUND(B4*B7*B13,2)</f>
        <v/>
      </c>
    </row>
    <row r="20">
      <c r="A20" s="3" t="inlineStr">
        <is>
          <t>Perte de salaire des ouvriers : part non indemnisée (CHF)</t>
        </is>
      </c>
      <c r="B20" s="13">
        <f>ROUND(B4*B12*B13-B15,2)</f>
        <v/>
      </c>
    </row>
    <row r="21">
      <c r="A21" s="3" t="inlineStr">
        <is>
          <t>Date butoir de l'avis à l'autorité cantonale : le 5 du mois suivant (art. 69 al. 1 OACI)</t>
        </is>
      </c>
      <c r="B21" s="18">
        <f>DATE(YEAR(B9),MONTH(B9)+1,5)</f>
        <v/>
      </c>
    </row>
    <row r="23">
      <c r="A23" s="3" t="inlineStr">
        <is>
          <t>Un avis tardif sans motif valable reporte le début du droit à l'indemnité d'autant (art. 69 al. 2 OACI). Estimation indicative : seules les décisions de l'autorité cantonale et de la caisse font foi.</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0"/>
  <sheetViews>
    <sheetView showGridLines="0" workbookViewId="0">
      <selection activeCell="A1" sqref="A1"/>
    </sheetView>
  </sheetViews>
  <sheetFormatPr baseColWidth="8" defaultRowHeight="15"/>
  <cols>
    <col width="92" customWidth="1" min="1" max="1"/>
    <col width="14" customWidth="1" min="2" max="2"/>
    <col width="14" customWidth="1" min="3" max="3"/>
    <col width="14" customWidth="1" min="4" max="4"/>
    <col width="16" customWidth="1" min="5" max="5"/>
    <col width="16" customWidth="1" min="6" max="6"/>
    <col width="16" customWidth="1" min="7" max="7"/>
    <col width="16" customWidth="1" min="8" max="8"/>
    <col width="16" customWidth="1" min="9" max="9"/>
    <col width="18" customWidth="1" min="10" max="10"/>
  </cols>
  <sheetData>
    <row r="1">
      <c r="A1" s="5" t="inlineStr">
        <is>
          <t>3.9 · Qui paie en cas de sinistre : RC entreprise, extensions et assurance travaux de construction (ATC)</t>
        </is>
      </c>
    </row>
    <row r="2">
      <c r="A2" s="6" t="inlineStr">
        <is>
          <t>Postes : A = votre prestation défectueuse (toujours à votre charge hors ATC), B = recherche / dépose / repose, C = dommages consécutifs. Franchise appliquée par assureur.</t>
        </is>
      </c>
    </row>
    <row r="4">
      <c r="A4" s="3" t="inlineStr">
        <is>
          <t>Extension RC « frais de dépose / repose et recherche de défauts » (1 = oui)</t>
        </is>
      </c>
      <c r="B4" s="7" t="n">
        <v>0</v>
      </c>
    </row>
    <row r="5">
      <c r="A5" s="3" t="inlineStr">
        <is>
          <t>Extension RC « objets confiés ou travaillés » (1 = oui)</t>
        </is>
      </c>
      <c r="B5" s="7" t="n">
        <v>0</v>
      </c>
    </row>
    <row r="6">
      <c r="A6" s="3" t="inlineStr">
        <is>
          <t>Extension RC « clés perdues » (1 = oui)</t>
        </is>
      </c>
      <c r="B6" s="7" t="n">
        <v>0</v>
      </c>
    </row>
    <row r="7">
      <c r="A7" s="3" t="inlineStr">
        <is>
          <t>Police ATC active (1 = oui)</t>
        </is>
      </c>
      <c r="B7" s="7" t="n">
        <v>0</v>
      </c>
    </row>
    <row r="8">
      <c r="A8" s="3" t="inlineStr">
        <is>
          <t>Cas 4 : matériel volé déjà fixé à l'ouvrage (1 = oui, 0 = sur palette)</t>
        </is>
      </c>
      <c r="B8" s="7" t="n">
        <v>1</v>
      </c>
    </row>
    <row r="9">
      <c r="A9" s="3" t="inlineStr">
        <is>
          <t>Franchise RC entreprise (CHF)</t>
        </is>
      </c>
      <c r="B9" s="8" t="n">
        <v>1000</v>
      </c>
    </row>
    <row r="10">
      <c r="A10" s="3" t="inlineStr">
        <is>
          <t>Franchise ATC (CHF)</t>
        </is>
      </c>
      <c r="B10" s="8" t="n">
        <v>2500</v>
      </c>
    </row>
    <row r="12">
      <c r="A12" s="10" t="inlineStr">
        <is>
          <t>Scénario</t>
        </is>
      </c>
      <c r="B12" s="10" t="inlineStr">
        <is>
          <t>A (CHF)</t>
        </is>
      </c>
      <c r="C12" s="10" t="inlineStr">
        <is>
          <t>B (CHF)</t>
        </is>
      </c>
      <c r="D12" s="10" t="inlineStr">
        <is>
          <t>C (CHF)</t>
        </is>
      </c>
      <c r="E12" s="10" t="inlineStr">
        <is>
          <t>Couvert RC</t>
        </is>
      </c>
      <c r="F12" s="10" t="inlineStr">
        <is>
          <t>Couvert ATC</t>
        </is>
      </c>
      <c r="G12" s="10" t="inlineStr">
        <is>
          <t>Payé RC</t>
        </is>
      </c>
      <c r="H12" s="10" t="inlineStr">
        <is>
          <t>Payé ATC</t>
        </is>
      </c>
      <c r="I12" s="10" t="inlineStr">
        <is>
          <t>Total payé</t>
        </is>
      </c>
      <c r="J12" s="10" t="inlineStr">
        <is>
          <t>Reste à charge</t>
        </is>
      </c>
    </row>
    <row r="13">
      <c r="A13" s="3" t="inlineStr">
        <is>
          <t>Cas 1 : Tuyau sanitaire mal serti provoquant un dégât d'eau dans le parquet et le plafond de l'étage inférieur</t>
        </is>
      </c>
      <c r="B13" s="8" t="n">
        <v>2400</v>
      </c>
      <c r="C13" s="8" t="n">
        <v>3500</v>
      </c>
      <c r="D13" s="8" t="n">
        <v>12000</v>
      </c>
      <c r="E13" s="13">
        <f>IF($B$4=1,C13,0)+D13</f>
        <v/>
      </c>
      <c r="F13" s="13">
        <f>0</f>
        <v/>
      </c>
      <c r="G13" s="13">
        <f>IF(E13&gt;0,MAX(0,E13-$B$9),0)</f>
        <v/>
      </c>
      <c r="H13" s="13">
        <f>IF(F13&gt;0,MAX(0,F13-$B$10),0)</f>
        <v/>
      </c>
      <c r="I13" s="13">
        <f>G13+H13</f>
        <v/>
      </c>
      <c r="J13" s="13">
        <f>B13+C13+D13-I13</f>
        <v/>
      </c>
    </row>
    <row r="14">
      <c r="A14" s="3" t="inlineStr">
        <is>
          <t>Cas 2 : Carrelage ou parquet qui se décolle sur 80 m² à cause d'une colle défectueuse ou d'une chape humide</t>
        </is>
      </c>
      <c r="B14" s="8" t="n">
        <v>2400</v>
      </c>
      <c r="C14" s="8" t="n">
        <v>3500</v>
      </c>
      <c r="D14" s="8" t="n">
        <v>12000</v>
      </c>
      <c r="E14" s="13">
        <f>IF($B$4=1,C14,0)+D14</f>
        <v/>
      </c>
      <c r="F14" s="13">
        <f>0</f>
        <v/>
      </c>
      <c r="G14" s="13">
        <f>IF(E14&gt;0,MAX(0,E14-$B$9),0)</f>
        <v/>
      </c>
      <c r="H14" s="13">
        <f>IF(F14&gt;0,MAX(0,F14-$B$10),0)</f>
        <v/>
      </c>
      <c r="I14" s="13">
        <f>G14+H14</f>
        <v/>
      </c>
      <c r="J14" s="13">
        <f>B14+C14+D14-I14</f>
        <v/>
      </c>
    </row>
    <row r="15">
      <c r="A15" s="3" t="inlineStr">
        <is>
          <t>Cas 3 : Perçage d'une conduite électrique ou d'un tube de chauffage au sol existant lors d'un carottage</t>
        </is>
      </c>
      <c r="B15" s="8" t="n">
        <v>2400</v>
      </c>
      <c r="C15" s="8" t="n">
        <v>3500</v>
      </c>
      <c r="D15" s="8" t="n">
        <v>12000</v>
      </c>
      <c r="E15" s="13">
        <f>IF(OR($B$5=1,$B$4=1),C15,0)+D15</f>
        <v/>
      </c>
      <c r="F15" s="13">
        <f>0</f>
        <v/>
      </c>
      <c r="G15" s="13">
        <f>IF(E15&gt;0,MAX(0,E15-$B$9),0)</f>
        <v/>
      </c>
      <c r="H15" s="13">
        <f>IF(F15&gt;0,MAX(0,F15-$B$10),0)</f>
        <v/>
      </c>
      <c r="I15" s="13">
        <f>G15+H15</f>
        <v/>
      </c>
      <c r="J15" s="13">
        <f>B15+C15+D15-I15</f>
        <v/>
      </c>
    </row>
    <row r="16">
      <c r="A16" s="3" t="inlineStr">
        <is>
          <t>Cas 4 : Vol de matériaux / équipements sur le chantier avant la réception (cuivre, PAC, tableau électrique déjà fixé vs sur palette)</t>
        </is>
      </c>
      <c r="B16" s="8" t="n">
        <v>2400</v>
      </c>
      <c r="C16" s="8" t="n">
        <v>3500</v>
      </c>
      <c r="D16" s="8" t="n">
        <v>12000</v>
      </c>
      <c r="E16" s="13">
        <f>0</f>
        <v/>
      </c>
      <c r="F16" s="13">
        <f>IF(AND($B$7=1,$B$8=1),B16+C16,0)+IF($B$7=1,D16,0)</f>
        <v/>
      </c>
      <c r="G16" s="13">
        <f>IF(E16&gt;0,MAX(0,E16-$B$9),0)</f>
        <v/>
      </c>
      <c r="H16" s="13">
        <f>IF(F16&gt;0,MAX(0,F16-$B$10),0)</f>
        <v/>
      </c>
      <c r="I16" s="13">
        <f>G16+H16</f>
        <v/>
      </c>
      <c r="J16" s="13">
        <f>B16+C16+D16-I16</f>
        <v/>
      </c>
    </row>
    <row r="17">
      <c r="A17" s="3" t="inlineStr">
        <is>
          <t>Cas 5 : Fissuration du bâtiment voisin lors de travaux de terrassement ou de battage de palplanches</t>
        </is>
      </c>
      <c r="B17" s="8" t="n">
        <v>2400</v>
      </c>
      <c r="C17" s="8" t="n">
        <v>3500</v>
      </c>
      <c r="D17" s="8" t="n">
        <v>12000</v>
      </c>
      <c r="E17" s="13">
        <f>C17+D17</f>
        <v/>
      </c>
      <c r="F17" s="13">
        <f>0</f>
        <v/>
      </c>
      <c r="G17" s="13">
        <f>IF(E17&gt;0,MAX(0,E17-$B$9),0)</f>
        <v/>
      </c>
      <c r="H17" s="13">
        <f>IF(F17&gt;0,MAX(0,F17-$B$10),0)</f>
        <v/>
      </c>
      <c r="I17" s="13">
        <f>G17+H17</f>
        <v/>
      </c>
      <c r="J17" s="13">
        <f>B17+C17+D17-I17</f>
        <v/>
      </c>
    </row>
    <row r="18">
      <c r="A18" s="3" t="inlineStr">
        <is>
          <t>Cas 6 : Perte du passe-partout général d'un immeuble locatif ou d'un chantier (remplacement de 60 cylindres Kaba)</t>
        </is>
      </c>
      <c r="B18" s="8" t="n">
        <v>2400</v>
      </c>
      <c r="C18" s="8" t="n">
        <v>3500</v>
      </c>
      <c r="D18" s="8" t="n">
        <v>12000</v>
      </c>
      <c r="E18" s="13">
        <f>IF($B$6=1,C18+D18,0)</f>
        <v/>
      </c>
      <c r="F18" s="13">
        <f>0</f>
        <v/>
      </c>
      <c r="G18" s="13">
        <f>IF(E18&gt;0,MAX(0,E18-$B$9),0)</f>
        <v/>
      </c>
      <c r="H18" s="13">
        <f>IF(F18&gt;0,MAX(0,F18-$B$10),0)</f>
        <v/>
      </c>
      <c r="I18" s="13">
        <f>G18+H18</f>
        <v/>
      </c>
      <c r="J18" s="13">
        <f>B18+C18+D18-I18</f>
        <v/>
      </c>
    </row>
    <row r="20">
      <c r="A20" s="3" t="inlineStr">
        <is>
          <t>Règles types des polices RC entreprise et ATC : les conditions générales de votre assureur (exclusions, sous-limites, franchises) priment. Ce diagnostic oriente votre déclaration, il ne vaut pas décision de l'assureur.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1"/>
  <sheetViews>
    <sheetView showGridLines="0" workbookViewId="0">
      <selection activeCell="A1" sqref="A1"/>
    </sheetView>
  </sheetViews>
  <sheetFormatPr baseColWidth="8" defaultRowHeight="15"/>
  <cols>
    <col width="84" customWidth="1" min="1" max="1"/>
    <col width="18" customWidth="1" min="2" max="2"/>
  </cols>
  <sheetData>
    <row r="1">
      <c r="A1" s="5" t="inlineStr">
        <is>
          <t>3.10 · Retenue en espèces (art. 150) contre cautionnement solidaire (art. 181 SIA 118)</t>
        </is>
      </c>
    </row>
    <row r="2">
      <c r="A2" s="6" t="inlineStr">
        <is>
          <t>Cautionnement : 10 % de la somme totale ; dès 300'000 CHF, 5 % de la somme totale (pas par tranches), min. 30'000, max. 2'000'000. Retenue : 10 % ; dès 500'000 CHF, 5 % min. 50'000, max. 2'000'000.</t>
        </is>
      </c>
    </row>
    <row r="4">
      <c r="A4" s="3" t="inlineStr">
        <is>
          <t>Montant du décompte final HT (CHF)</t>
        </is>
      </c>
      <c r="B4" s="8" t="n">
        <v>450000</v>
      </c>
    </row>
    <row r="5">
      <c r="A5" s="3" t="inlineStr">
        <is>
          <t>Durée de la garantie (ans)</t>
        </is>
      </c>
      <c r="B5" s="7" t="n">
        <v>2</v>
      </c>
    </row>
    <row r="6">
      <c r="A6" s="3" t="inlineStr">
        <is>
          <t>Prime annuelle société de cautionnement / assurance (%)</t>
        </is>
      </c>
      <c r="B6" s="15" t="n">
        <v>1.2</v>
      </c>
    </row>
    <row r="7">
      <c r="A7" s="3" t="inlineStr">
        <is>
          <t>Prime annuelle de la banque (%)</t>
        </is>
      </c>
      <c r="B7" s="15" t="n">
        <v>0.9</v>
      </c>
    </row>
    <row r="8">
      <c r="A8" s="3" t="inlineStr">
        <is>
          <t>Part de la caution bancaire nantie ou déduite de votre limite de crédit (%)</t>
        </is>
      </c>
      <c r="B8" s="7" t="n">
        <v>100</v>
      </c>
    </row>
    <row r="9">
      <c r="A9" s="3" t="inlineStr">
        <is>
          <t>Coût de votre crédit de trésorerie ou rendement du cash réinvesti (% par an)</t>
        </is>
      </c>
      <c r="B9" s="15" t="n">
        <v>5.5</v>
      </c>
    </row>
    <row r="11">
      <c r="A11" s="3" t="inlineStr">
        <is>
          <t>Retenue en espèces sur les acomptes (art. 150)</t>
        </is>
      </c>
      <c r="B11" s="13">
        <f>IF(B4&gt;0,ROUND(MIN(IF(B4&lt;=500000,B4*10/100,MAX(B4*5/100,50000)),2000000),2),0)</f>
        <v/>
      </c>
    </row>
    <row r="12">
      <c r="A12" s="3" t="inlineStr">
        <is>
          <t>Cautionnement solidaire exigé à la réception (art. 181)</t>
        </is>
      </c>
      <c r="B12" s="13">
        <f>IF(B4&gt;0,ROUND(IF(B4&lt;=300000,B4*10/100,MIN(MAX(B4*5/100,30000),2000000)),2),0)</f>
        <v/>
      </c>
    </row>
    <row r="13">
      <c r="A13" s="3" t="inlineStr">
        <is>
          <t>Coût de la retenue bloquée (argent immobilisé) sur la durée</t>
        </is>
      </c>
      <c r="B13" s="13">
        <f>ROUND(B11*B9/100*B5,2)</f>
        <v/>
      </c>
    </row>
    <row r="14">
      <c r="A14" s="3" t="inlineStr">
        <is>
          <t>Primes de l'assurance-caution sur la durée</t>
        </is>
      </c>
      <c r="B14" s="13">
        <f>ROUND(B12*B6/100*B5,2)</f>
        <v/>
      </c>
    </row>
    <row r="15">
      <c r="A15" s="3" t="inlineStr">
        <is>
          <t>Primes de la banque sur la durée</t>
        </is>
      </c>
      <c r="B15" s="13">
        <f>ROUND(B12*B7/100*B5,2)</f>
        <v/>
      </c>
    </row>
    <row r="16">
      <c r="A16" s="3" t="inlineStr">
        <is>
          <t>Coût de la limite de crédit réservée (caution bancaire)</t>
        </is>
      </c>
      <c r="B16" s="13">
        <f>ROUND(B12*B8/100*B9/100*B5,2)</f>
        <v/>
      </c>
    </row>
    <row r="17">
      <c r="A17" s="3" t="inlineStr">
        <is>
          <t>Coût total du cautionnement bancaire</t>
        </is>
      </c>
      <c r="B17" s="13">
        <f>B15+B16</f>
        <v/>
      </c>
    </row>
    <row r="18">
      <c r="A18" s="3" t="inlineStr">
        <is>
          <t>Gain net de l'assurance-caution par rapport à la retenue</t>
        </is>
      </c>
      <c r="B18" s="13">
        <f>B13-B14</f>
        <v/>
      </c>
    </row>
    <row r="19">
      <c r="A19" s="3" t="inlineStr">
        <is>
          <t>Gain net du cautionnement bancaire par rapport à la retenue</t>
        </is>
      </c>
      <c r="B19" s="13">
        <f>B13-B17</f>
        <v/>
      </c>
    </row>
    <row r="21">
      <c r="A21" s="3" t="inlineStr">
        <is>
          <t>La retenue n'est échue que si la réception, le décompte final et la constitution du cautionnement sont réunis (art. 152 SIA 118). Les primes et le coût de l'argent sont des exemples : demandez des offres.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51"/>
  <sheetViews>
    <sheetView showGridLines="0" workbookViewId="0">
      <selection activeCell="A1" sqref="A1"/>
    </sheetView>
  </sheetViews>
  <sheetFormatPr baseColWidth="8" defaultRowHeight="15"/>
  <cols>
    <col width="72" customWidth="1" min="1" max="1"/>
    <col width="16" customWidth="1" min="2" max="2"/>
    <col width="12" customWidth="1" min="3" max="3"/>
    <col width="14" customWidth="1" min="4" max="4"/>
    <col width="14" customWidth="1" min="5" max="5"/>
    <col width="16" customWidth="1" min="6" max="6"/>
    <col width="26" customWidth="1" min="7" max="7"/>
    <col width="14" customWidth="1" min="8" max="8"/>
    <col width="34" customWidth="1" min="9" max="9"/>
    <col width="16" customWidth="1" min="10" max="10"/>
  </cols>
  <sheetData>
    <row r="1">
      <c r="A1" s="5" t="inlineStr">
        <is>
          <t>3.11 · Temps unitaires, cadences de pose et marge sur matériaux</t>
        </is>
      </c>
    </row>
    <row r="2">
      <c r="A2" s="6" t="inlineStr">
        <is>
          <t>Dix ouvrages reprennent le tableau du cahier des charges ; les autres sont des valeurs indicatives de rédaction, à valider par vos relevés. Base : 1 compagnon, 8,25 h par jour.</t>
        </is>
      </c>
    </row>
    <row r="4">
      <c r="A4" s="10" t="inlineStr">
        <is>
          <t>Ouvrage</t>
        </is>
      </c>
      <c r="B4" s="10" t="inlineStr">
        <is>
          <t>Groupe</t>
        </is>
      </c>
      <c r="C4" s="10" t="inlineStr">
        <is>
          <t>Unité</t>
        </is>
      </c>
      <c r="D4" s="10" t="inlineStr">
        <is>
          <t>h min / unité</t>
        </is>
      </c>
      <c r="E4" s="10" t="inlineStr">
        <is>
          <t>h max / unité</t>
        </is>
      </c>
      <c r="F4" s="10" t="inlineStr">
        <is>
          <t>h moyen / unité</t>
        </is>
      </c>
      <c r="G4" s="10" t="inlineStr">
        <is>
          <t>Cadence journalière</t>
        </is>
      </c>
      <c r="H4" s="10" t="inlineStr">
        <is>
          <t>Chute (%)</t>
        </is>
      </c>
      <c r="I4" s="10" t="inlineStr">
        <is>
          <t>Taux de chute / perte</t>
        </is>
      </c>
      <c r="J4" s="10" t="inlineStr">
        <is>
          <t>Origine</t>
        </is>
      </c>
    </row>
    <row r="5">
      <c r="A5" s="3" t="inlineStr">
        <is>
          <t>Maçonnerie brique terre cuite ép. 15 cm</t>
        </is>
      </c>
      <c r="B5" s="3" t="inlineStr">
        <is>
          <t>Gros œuvre</t>
        </is>
      </c>
      <c r="C5" s="3" t="inlineStr">
        <is>
          <t>m²</t>
        </is>
      </c>
      <c r="D5" s="19" t="n">
        <v>0.75</v>
      </c>
      <c r="E5" s="19" t="n">
        <v>0.95</v>
      </c>
      <c r="F5" s="20">
        <f>ROUND((D5+E5)/2,4)</f>
        <v/>
      </c>
      <c r="G5" s="3" t="inlineStr">
        <is>
          <t>~8,5 à 11 m² / jour</t>
        </is>
      </c>
      <c r="H5" s="9" t="n">
        <v>5</v>
      </c>
      <c r="I5" s="3" t="inlineStr">
        <is>
          <t>5 % (briques) / 10 % (mortier)</t>
        </is>
      </c>
      <c r="J5" s="3" t="inlineStr">
        <is>
          <t>Cahier des charges</t>
        </is>
      </c>
    </row>
    <row r="6">
      <c r="A6" s="3" t="inlineStr">
        <is>
          <t>Coffrage de murs béton (banches) / dalles</t>
        </is>
      </c>
      <c r="B6" s="3" t="inlineStr">
        <is>
          <t>Gros œuvre</t>
        </is>
      </c>
      <c r="C6" s="3" t="inlineStr">
        <is>
          <t>m²</t>
        </is>
      </c>
      <c r="D6" s="19" t="n">
        <v>0.65</v>
      </c>
      <c r="E6" s="19" t="n">
        <v>0.85</v>
      </c>
      <c r="F6" s="20">
        <f>ROUND((D6+E6)/2,4)</f>
        <v/>
      </c>
      <c r="G6" s="3" t="inlineStr">
        <is>
          <t>~10 à 12,5 m² / jour</t>
        </is>
      </c>
      <c r="H6" s="9" t="n">
        <v>5</v>
      </c>
      <c r="I6" s="3" t="inlineStr">
        <is>
          <t>5 % (bois / consommables)</t>
        </is>
      </c>
      <c r="J6" s="3" t="inlineStr">
        <is>
          <t>Cahier des charges</t>
        </is>
      </c>
    </row>
    <row r="7">
      <c r="A7" s="3" t="inlineStr">
        <is>
          <t>Ferraillage / pose d'armatures B500B</t>
        </is>
      </c>
      <c r="B7" s="3" t="inlineStr">
        <is>
          <t>Gros œuvre</t>
        </is>
      </c>
      <c r="C7" s="3" t="inlineStr">
        <is>
          <t>kg</t>
        </is>
      </c>
      <c r="D7" s="19" t="n">
        <v>0.022</v>
      </c>
      <c r="E7" s="19" t="n">
        <v>0.03</v>
      </c>
      <c r="F7" s="20">
        <f>ROUND((D7+E7)/2,4)</f>
        <v/>
      </c>
      <c r="G7" s="3" t="inlineStr">
        <is>
          <t>~280 à 370 kg / jour</t>
        </is>
      </c>
      <c r="H7" s="9" t="n">
        <v>10</v>
      </c>
      <c r="I7" s="3" t="inlineStr">
        <is>
          <t>8 % à 12 % (recouvrements / chutes)</t>
        </is>
      </c>
      <c r="J7" s="3" t="inlineStr">
        <is>
          <t>Cahier des charges</t>
        </is>
      </c>
    </row>
    <row r="8">
      <c r="A8" s="3" t="inlineStr">
        <is>
          <t>Béton coulé et vibré (dalle ou mur, pompe en place)</t>
        </is>
      </c>
      <c r="B8" s="3" t="inlineStr">
        <is>
          <t>Gros œuvre</t>
        </is>
      </c>
      <c r="C8" s="3" t="inlineStr">
        <is>
          <t>m³</t>
        </is>
      </c>
      <c r="D8" s="19" t="n">
        <v>0.9</v>
      </c>
      <c r="E8" s="19" t="n">
        <v>1.4</v>
      </c>
      <c r="F8" s="20">
        <f>ROUND((D8+E8)/2,4)</f>
        <v/>
      </c>
      <c r="G8" s="3" t="inlineStr">
        <is>
          <t>~6 à 9 m³ / jour</t>
        </is>
      </c>
      <c r="H8" s="9" t="n">
        <v>3</v>
      </c>
      <c r="I8" s="3" t="inlineStr">
        <is>
          <t>3 % (surconsommation)</t>
        </is>
      </c>
      <c r="J8" s="3" t="inlineStr">
        <is>
          <t>Indicatif</t>
        </is>
      </c>
    </row>
    <row r="9">
      <c r="A9" s="3" t="inlineStr">
        <is>
          <t>Pavage extérieur (pavés béton sur lit de sable)</t>
        </is>
      </c>
      <c r="B9" s="3" t="inlineStr">
        <is>
          <t>Gros œuvre</t>
        </is>
      </c>
      <c r="C9" s="3" t="inlineStr">
        <is>
          <t>m²</t>
        </is>
      </c>
      <c r="D9" s="19" t="n">
        <v>0.9</v>
      </c>
      <c r="E9" s="19" t="n">
        <v>1.3</v>
      </c>
      <c r="F9" s="20">
        <f>ROUND((D9+E9)/2,4)</f>
        <v/>
      </c>
      <c r="G9" s="3" t="inlineStr">
        <is>
          <t>~6,5 à 9 m² / jour</t>
        </is>
      </c>
      <c r="H9" s="9" t="n">
        <v>7</v>
      </c>
      <c r="I9" s="3" t="inlineStr">
        <is>
          <t>5 % à 8 % (coupes)</t>
        </is>
      </c>
      <c r="J9" s="3" t="inlineStr">
        <is>
          <t>Indicatif</t>
        </is>
      </c>
    </row>
    <row r="10">
      <c r="A10" s="3" t="inlineStr">
        <is>
          <t>Isolation périphérique de façade crépie (ITE), complet</t>
        </is>
      </c>
      <c r="B10" s="3" t="inlineStr">
        <is>
          <t>Second œuvre</t>
        </is>
      </c>
      <c r="C10" s="3" t="inlineStr">
        <is>
          <t>m²</t>
        </is>
      </c>
      <c r="D10" s="19" t="n">
        <v>1.1</v>
      </c>
      <c r="E10" s="19" t="n">
        <v>1.4</v>
      </c>
      <c r="F10" s="20">
        <f>ROUND((D10+E10)/2,4)</f>
        <v/>
      </c>
      <c r="G10" s="3" t="inlineStr">
        <is>
          <t>~6 à 7,5 m² / jour</t>
        </is>
      </c>
      <c r="H10" s="9" t="n">
        <v>7</v>
      </c>
      <c r="I10" s="3" t="inlineStr">
        <is>
          <t>7 % (panneaux EPS / laine)</t>
        </is>
      </c>
      <c r="J10" s="3" t="inlineStr">
        <is>
          <t>Cahier des charges</t>
        </is>
      </c>
    </row>
    <row r="11">
      <c r="A11" s="3" t="inlineStr">
        <is>
          <t>Cloison sèche plaques de plâtre (1+1 sur rails + isolant)</t>
        </is>
      </c>
      <c r="B11" s="3" t="inlineStr">
        <is>
          <t>Second œuvre</t>
        </is>
      </c>
      <c r="C11" s="3" t="inlineStr">
        <is>
          <t>m²</t>
        </is>
      </c>
      <c r="D11" s="19" t="n">
        <v>0.65</v>
      </c>
      <c r="E11" s="19" t="n">
        <v>0.85</v>
      </c>
      <c r="F11" s="20">
        <f>ROUND((D11+E11)/2,4)</f>
        <v/>
      </c>
      <c r="G11" s="3" t="inlineStr">
        <is>
          <t>~10 à 12,5 m² / jour</t>
        </is>
      </c>
      <c r="H11" s="9" t="n">
        <v>8</v>
      </c>
      <c r="I11" s="3" t="inlineStr">
        <is>
          <t>8 % (plaques et profilés)</t>
        </is>
      </c>
      <c r="J11" s="3" t="inlineStr">
        <is>
          <t>Cahier des charges</t>
        </is>
      </c>
    </row>
    <row r="12">
      <c r="A12" s="3" t="inlineStr">
        <is>
          <t>Faux-plafond suspendu (plaques sur ossature)</t>
        </is>
      </c>
      <c r="B12" s="3" t="inlineStr">
        <is>
          <t>Second œuvre</t>
        </is>
      </c>
      <c r="C12" s="3" t="inlineStr">
        <is>
          <t>m²</t>
        </is>
      </c>
      <c r="D12" s="19" t="n">
        <v>0.55</v>
      </c>
      <c r="E12" s="19" t="n">
        <v>0.8</v>
      </c>
      <c r="F12" s="20">
        <f>ROUND((D12+E12)/2,4)</f>
        <v/>
      </c>
      <c r="G12" s="3" t="inlineStr">
        <is>
          <t>~10,5 à 15 m² / jour</t>
        </is>
      </c>
      <c r="H12" s="9" t="n">
        <v>7</v>
      </c>
      <c r="I12" s="3" t="inlineStr">
        <is>
          <t>7 % (plaques et ossature)</t>
        </is>
      </c>
      <c r="J12" s="3" t="inlineStr">
        <is>
          <t>Indicatif</t>
        </is>
      </c>
    </row>
    <row r="13">
      <c r="A13" s="3" t="inlineStr">
        <is>
          <t>Ratissage enduit plein Q3 / Q4 sur murs et plafonds</t>
        </is>
      </c>
      <c r="B13" s="3" t="inlineStr">
        <is>
          <t>Second œuvre</t>
        </is>
      </c>
      <c r="C13" s="3" t="inlineStr">
        <is>
          <t>m²</t>
        </is>
      </c>
      <c r="D13" s="19" t="n">
        <v>0.25</v>
      </c>
      <c r="E13" s="19" t="n">
        <v>0.4</v>
      </c>
      <c r="F13" s="20">
        <f>ROUND((D13+E13)/2,4)</f>
        <v/>
      </c>
      <c r="G13" s="3" t="inlineStr">
        <is>
          <t>~20 à 33 m² / jour</t>
        </is>
      </c>
      <c r="H13" s="9" t="n">
        <v>10</v>
      </c>
      <c r="I13" s="3" t="inlineStr">
        <is>
          <t>10 % (enduit)</t>
        </is>
      </c>
      <c r="J13" s="3" t="inlineStr">
        <is>
          <t>Cahier des charges</t>
        </is>
      </c>
    </row>
    <row r="14">
      <c r="A14" s="3" t="inlineStr">
        <is>
          <t>Peinture intérieure (impression + 2 couches dispersion)</t>
        </is>
      </c>
      <c r="B14" s="3" t="inlineStr">
        <is>
          <t>Second œuvre</t>
        </is>
      </c>
      <c r="C14" s="3" t="inlineStr">
        <is>
          <t>m²</t>
        </is>
      </c>
      <c r="D14" s="19" t="n">
        <v>0.22</v>
      </c>
      <c r="E14" s="19" t="n">
        <v>0.32</v>
      </c>
      <c r="F14" s="20">
        <f>ROUND((D14+E14)/2,4)</f>
        <v/>
      </c>
      <c r="G14" s="3" t="inlineStr">
        <is>
          <t>~26 à 37 m² / jour</t>
        </is>
      </c>
      <c r="H14" s="9" t="n">
        <v>6</v>
      </c>
      <c r="I14" s="3" t="inlineStr">
        <is>
          <t>5 % à 8 %</t>
        </is>
      </c>
      <c r="J14" s="3" t="inlineStr">
        <is>
          <t>Cahier des charges</t>
        </is>
      </c>
    </row>
    <row r="15">
      <c r="A15" s="3" t="inlineStr">
        <is>
          <t>Pose de carrelage sol (format 60×60 cm, double encollage)</t>
        </is>
      </c>
      <c r="B15" s="3" t="inlineStr">
        <is>
          <t>Second œuvre</t>
        </is>
      </c>
      <c r="C15" s="3" t="inlineStr">
        <is>
          <t>m²</t>
        </is>
      </c>
      <c r="D15" s="19" t="n">
        <v>0.85</v>
      </c>
      <c r="E15" s="19" t="n">
        <v>1.15</v>
      </c>
      <c r="F15" s="20">
        <f>ROUND((D15+E15)/2,4)</f>
        <v/>
      </c>
      <c r="G15" s="3" t="inlineStr">
        <is>
          <t>~7 à 9,5 m² / jour</t>
        </is>
      </c>
      <c r="H15" s="9" t="n">
        <v>10</v>
      </c>
      <c r="I15" s="3" t="inlineStr">
        <is>
          <t>10 % (pose droite) / 15 % (diagonale)</t>
        </is>
      </c>
      <c r="J15" s="3" t="inlineStr">
        <is>
          <t>Cahier des charges</t>
        </is>
      </c>
    </row>
    <row r="16">
      <c r="A16" s="3" t="inlineStr">
        <is>
          <t>Faïence murale (pose collée, joints inclus)</t>
        </is>
      </c>
      <c r="B16" s="3" t="inlineStr">
        <is>
          <t>Second œuvre</t>
        </is>
      </c>
      <c r="C16" s="3" t="inlineStr">
        <is>
          <t>m²</t>
        </is>
      </c>
      <c r="D16" s="19" t="n">
        <v>1.1</v>
      </c>
      <c r="E16" s="19" t="n">
        <v>1.5</v>
      </c>
      <c r="F16" s="20">
        <f>ROUND((D16+E16)/2,4)</f>
        <v/>
      </c>
      <c r="G16" s="3" t="inlineStr">
        <is>
          <t>~5,5 à 7,5 m² / jour</t>
        </is>
      </c>
      <c r="H16" s="9" t="n">
        <v>12</v>
      </c>
      <c r="I16" s="3" t="inlineStr">
        <is>
          <t>10 % à 15 % (coupes)</t>
        </is>
      </c>
      <c r="J16" s="3" t="inlineStr">
        <is>
          <t>Indicatif</t>
        </is>
      </c>
    </row>
    <row r="17">
      <c r="A17" s="3" t="inlineStr">
        <is>
          <t>Pose de parquet collé en plein (lames)</t>
        </is>
      </c>
      <c r="B17" s="3" t="inlineStr">
        <is>
          <t>Second œuvre</t>
        </is>
      </c>
      <c r="C17" s="3" t="inlineStr">
        <is>
          <t>m²</t>
        </is>
      </c>
      <c r="D17" s="19" t="n">
        <v>0.6</v>
      </c>
      <c r="E17" s="19" t="n">
        <v>0.8</v>
      </c>
      <c r="F17" s="20">
        <f>ROUND((D17+E17)/2,4)</f>
        <v/>
      </c>
      <c r="G17" s="3" t="inlineStr">
        <is>
          <t>~10 à 13,5 m² / jour</t>
        </is>
      </c>
      <c r="H17" s="9" t="n">
        <v>8</v>
      </c>
      <c r="I17" s="3" t="inlineStr">
        <is>
          <t>7 % à 10 % (coupes)</t>
        </is>
      </c>
      <c r="J17" s="3" t="inlineStr">
        <is>
          <t>Cahier des charges</t>
        </is>
      </c>
    </row>
    <row r="18">
      <c r="A18" s="3" t="inlineStr">
        <is>
          <t>Chape ciment flottante (6 cm, sur isolation)</t>
        </is>
      </c>
      <c r="B18" s="3" t="inlineStr">
        <is>
          <t>Second œuvre</t>
        </is>
      </c>
      <c r="C18" s="3" t="inlineStr">
        <is>
          <t>m²</t>
        </is>
      </c>
      <c r="D18" s="19" t="n">
        <v>0.3</v>
      </c>
      <c r="E18" s="19" t="n">
        <v>0.45</v>
      </c>
      <c r="F18" s="20">
        <f>ROUND((D18+E18)/2,4)</f>
        <v/>
      </c>
      <c r="G18" s="3" t="inlineStr">
        <is>
          <t>~18,5 à 27,5 m² / jour</t>
        </is>
      </c>
      <c r="H18" s="9" t="n">
        <v>5</v>
      </c>
      <c r="I18" s="3" t="inlineStr">
        <is>
          <t>5 % (mortier)</t>
        </is>
      </c>
      <c r="J18" s="3" t="inlineStr">
        <is>
          <t>Indicatif</t>
        </is>
      </c>
    </row>
    <row r="19">
      <c r="A19" s="3" t="inlineStr">
        <is>
          <t>Étanchéité bitumineuse toiture plate (2 couches)</t>
        </is>
      </c>
      <c r="B19" s="3" t="inlineStr">
        <is>
          <t>Second œuvre</t>
        </is>
      </c>
      <c r="C19" s="3" t="inlineStr">
        <is>
          <t>m²</t>
        </is>
      </c>
      <c r="D19" s="19" t="n">
        <v>0.45</v>
      </c>
      <c r="E19" s="19" t="n">
        <v>0.65</v>
      </c>
      <c r="F19" s="20">
        <f>ROUND((D19+E19)/2,4)</f>
        <v/>
      </c>
      <c r="G19" s="3" t="inlineStr">
        <is>
          <t>~12,5 à 18,5 m² / jour</t>
        </is>
      </c>
      <c r="H19" s="9" t="n">
        <v>10</v>
      </c>
      <c r="I19" s="3" t="inlineStr">
        <is>
          <t>8 % à 12 % (recouvrements)</t>
        </is>
      </c>
      <c r="J19" s="3" t="inlineStr">
        <is>
          <t>Indicatif</t>
        </is>
      </c>
    </row>
    <row r="20">
      <c r="A20" s="3" t="inlineStr">
        <is>
          <t>Pose de plinthes</t>
        </is>
      </c>
      <c r="B20" s="3" t="inlineStr">
        <is>
          <t>Second œuvre</t>
        </is>
      </c>
      <c r="C20" s="3" t="inlineStr">
        <is>
          <t>ml</t>
        </is>
      </c>
      <c r="D20" s="19" t="n">
        <v>0.12</v>
      </c>
      <c r="E20" s="19" t="n">
        <v>0.2</v>
      </c>
      <c r="F20" s="20">
        <f>ROUND((D20+E20)/2,4)</f>
        <v/>
      </c>
      <c r="G20" s="3" t="inlineStr">
        <is>
          <t>~41 à 69 ml / jour</t>
        </is>
      </c>
      <c r="H20" s="9" t="n">
        <v>8</v>
      </c>
      <c r="I20" s="3" t="inlineStr">
        <is>
          <t>8 % (coupes d'angle)</t>
        </is>
      </c>
      <c r="J20" s="3" t="inlineStr">
        <is>
          <t>Indicatif</t>
        </is>
      </c>
    </row>
    <row r="21">
      <c r="A21" s="3" t="inlineStr">
        <is>
          <t>Pose de fenêtre standard (dépose de l'ancienne exclue)</t>
        </is>
      </c>
      <c r="B21" s="3" t="inlineStr">
        <is>
          <t>Second œuvre</t>
        </is>
      </c>
      <c r="C21" s="3" t="inlineStr">
        <is>
          <t>pce</t>
        </is>
      </c>
      <c r="D21" s="19" t="n">
        <v>2.5</v>
      </c>
      <c r="E21" s="19" t="n">
        <v>4</v>
      </c>
      <c r="F21" s="20">
        <f>ROUND((D21+E21)/2,4)</f>
        <v/>
      </c>
      <c r="G21" s="3" t="inlineStr">
        <is>
          <t>~2,1 à 3,3 pce / jour</t>
        </is>
      </c>
      <c r="H21" s="9" t="n">
        <v>0</v>
      </c>
      <c r="I21" s="3" t="inlineStr">
        <is>
          <t>0 % (pièce unitaire)</t>
        </is>
      </c>
      <c r="J21" s="3" t="inlineStr">
        <is>
          <t>Indicatif</t>
        </is>
      </c>
    </row>
    <row r="22">
      <c r="A22" s="3" t="inlineStr">
        <is>
          <t>Pose de tubes de chauffage au sol (sur isolant à plots)</t>
        </is>
      </c>
      <c r="B22" s="3" t="inlineStr">
        <is>
          <t>Techniques du bâtiment</t>
        </is>
      </c>
      <c r="C22" s="3" t="inlineStr">
        <is>
          <t>m²</t>
        </is>
      </c>
      <c r="D22" s="19" t="n">
        <v>0.3</v>
      </c>
      <c r="E22" s="19" t="n">
        <v>0.45</v>
      </c>
      <c r="F22" s="20">
        <f>ROUND((D22+E22)/2,4)</f>
        <v/>
      </c>
      <c r="G22" s="3" t="inlineStr">
        <is>
          <t>~18 à 27 m² / jour</t>
        </is>
      </c>
      <c r="H22" s="9" t="n">
        <v>5</v>
      </c>
      <c r="I22" s="3" t="inlineStr">
        <is>
          <t>5 % (tubes PE-Xa / multicouche)</t>
        </is>
      </c>
      <c r="J22" s="3" t="inlineStr">
        <is>
          <t>Cahier des charges</t>
        </is>
      </c>
    </row>
    <row r="23">
      <c r="A23" s="3" t="inlineStr">
        <is>
          <t>Tirage de gaines et de câbles électriques</t>
        </is>
      </c>
      <c r="B23" s="3" t="inlineStr">
        <is>
          <t>Techniques du bâtiment</t>
        </is>
      </c>
      <c r="C23" s="3" t="inlineStr">
        <is>
          <t>ml</t>
        </is>
      </c>
      <c r="D23" s="19" t="n">
        <v>0.08</v>
      </c>
      <c r="E23" s="19" t="n">
        <v>0.15</v>
      </c>
      <c r="F23" s="20">
        <f>ROUND((D23+E23)/2,4)</f>
        <v/>
      </c>
      <c r="G23" s="3" t="inlineStr">
        <is>
          <t>~55 à 103 ml / jour</t>
        </is>
      </c>
      <c r="H23" s="9" t="n">
        <v>8</v>
      </c>
      <c r="I23" s="3" t="inlineStr">
        <is>
          <t>8 % (chutes de câble)</t>
        </is>
      </c>
      <c r="J23" s="3" t="inlineStr">
        <is>
          <t>Indicatif</t>
        </is>
      </c>
    </row>
    <row r="24">
      <c r="A24" s="3" t="inlineStr">
        <is>
          <t>Pose de prises et d'interrupteurs encastrés</t>
        </is>
      </c>
      <c r="B24" s="3" t="inlineStr">
        <is>
          <t>Techniques du bâtiment</t>
        </is>
      </c>
      <c r="C24" s="3" t="inlineStr">
        <is>
          <t>pce</t>
        </is>
      </c>
      <c r="D24" s="19" t="n">
        <v>0.35</v>
      </c>
      <c r="E24" s="19" t="n">
        <v>0.6</v>
      </c>
      <c r="F24" s="20">
        <f>ROUND((D24+E24)/2,4)</f>
        <v/>
      </c>
      <c r="G24" s="3" t="inlineStr">
        <is>
          <t>~14 à 23,5 pce / jour</t>
        </is>
      </c>
      <c r="H24" s="9" t="n">
        <v>0</v>
      </c>
      <c r="I24" s="3" t="inlineStr">
        <is>
          <t>0 % (pièce unitaire)</t>
        </is>
      </c>
      <c r="J24" s="3" t="inlineStr">
        <is>
          <t>Indicatif</t>
        </is>
      </c>
    </row>
    <row r="25">
      <c r="A25" s="3" t="inlineStr">
        <is>
          <t>Tuyauterie sanitaire multicouche (pose et raccords)</t>
        </is>
      </c>
      <c r="B25" s="3" t="inlineStr">
        <is>
          <t>Techniques du bâtiment</t>
        </is>
      </c>
      <c r="C25" s="3" t="inlineStr">
        <is>
          <t>ml</t>
        </is>
      </c>
      <c r="D25" s="19" t="n">
        <v>0.3</v>
      </c>
      <c r="E25" s="19" t="n">
        <v>0.5</v>
      </c>
      <c r="F25" s="20">
        <f>ROUND((D25+E25)/2,4)</f>
        <v/>
      </c>
      <c r="G25" s="3" t="inlineStr">
        <is>
          <t>~16,5 à 27,5 ml / jour</t>
        </is>
      </c>
      <c r="H25" s="9" t="n">
        <v>5</v>
      </c>
      <c r="I25" s="3" t="inlineStr">
        <is>
          <t>5 % (chutes)</t>
        </is>
      </c>
      <c r="J25" s="3" t="inlineStr">
        <is>
          <t>Indicatif</t>
        </is>
      </c>
    </row>
    <row r="27">
      <c r="A27" s="21" t="inlineStr">
        <is>
          <t>Calculateur 1 : heures, durée et budget de main-d'œuvre</t>
        </is>
      </c>
    </row>
    <row r="28">
      <c r="A28" s="3" t="inlineStr">
        <is>
          <t>Quantité à réaliser</t>
        </is>
      </c>
      <c r="B28" s="9" t="n">
        <v>120</v>
      </c>
    </row>
    <row r="29">
      <c r="A29" s="3" t="inlineStr">
        <is>
          <t>Temps unitaire moyen (h par unité)</t>
        </is>
      </c>
      <c r="B29" s="19" t="n">
        <v>1</v>
      </c>
    </row>
    <row r="30">
      <c r="A30" s="3" t="inlineStr">
        <is>
          <t>Nombre d'ouvriers</t>
        </is>
      </c>
      <c r="B30" s="7" t="n">
        <v>2</v>
      </c>
    </row>
    <row r="31">
      <c r="A31" s="3" t="inlineStr">
        <is>
          <t>Taux horaire de main-d'œuvre (CHF/h) : tarif de régie ACIP du secteur</t>
        </is>
      </c>
      <c r="B31" s="8" t="n">
        <v>96</v>
      </c>
    </row>
    <row r="33">
      <c r="A33" s="3" t="inlineStr">
        <is>
          <t>Total d'heures de main-d'œuvre</t>
        </is>
      </c>
      <c r="B33" s="22">
        <f>ROUND(B28*B29,2)</f>
        <v/>
      </c>
    </row>
    <row r="34">
      <c r="A34" s="3" t="inlineStr">
        <is>
          <t>Journées de chantier pour l'équipe (base 8,25 h par jour)</t>
        </is>
      </c>
      <c r="B34" s="22">
        <f>ROUND(B33/(B30*8.25),2)</f>
        <v/>
      </c>
    </row>
    <row r="35">
      <c r="A35" s="3" t="inlineStr">
        <is>
          <t>Journées pleines</t>
        </is>
      </c>
      <c r="B35" s="12">
        <f>ROUNDUP(ROUND(B33/(B30*8.25),6),0)</f>
        <v/>
      </c>
    </row>
    <row r="36">
      <c r="A36" s="3" t="inlineStr">
        <is>
          <t>Budget main-d'œuvre total (CHF)</t>
        </is>
      </c>
      <c r="B36" s="13">
        <f>ROUND(B33*B31,2)</f>
        <v/>
      </c>
    </row>
    <row r="39">
      <c r="A39" s="21" t="inlineStr">
        <is>
          <t>Calculateur 2 : coefficient multiplicateur et prix de vente (taux de marque : division par 1 − marge)</t>
        </is>
      </c>
    </row>
    <row r="40">
      <c r="A40" s="3" t="inlineStr">
        <is>
          <t>Prix d'achat net fournisseur HT par unité (CHF)</t>
        </is>
      </c>
      <c r="B40" s="8" t="n">
        <v>38</v>
      </c>
    </row>
    <row r="41">
      <c r="A41" s="3" t="inlineStr">
        <is>
          <t>Taux de chute / perte de coupe (%)</t>
        </is>
      </c>
      <c r="B41" s="9" t="n">
        <v>10</v>
      </c>
    </row>
    <row r="42">
      <c r="A42" s="3" t="inlineStr">
        <is>
          <t>Frais de transport, stockage, manutention (%)</t>
        </is>
      </c>
      <c r="B42" s="9" t="n">
        <v>5</v>
      </c>
    </row>
    <row r="43">
      <c r="A43" s="3" t="inlineStr">
        <is>
          <t>Taux de marge nette souhaité sur la vente (taux de marque, %)</t>
        </is>
      </c>
      <c r="B43" s="9" t="n">
        <v>20</v>
      </c>
    </row>
    <row r="45">
      <c r="A45" s="3" t="inlineStr">
        <is>
          <t>Coût de revient du matériau posé = achat × (1 + chute) × (1 + manutention)</t>
        </is>
      </c>
      <c r="B45" s="13">
        <f>ROUND(B40*(1+B41/100)*(1+B42/100),2)</f>
        <v/>
      </c>
    </row>
    <row r="46">
      <c r="A46" s="3" t="inlineStr">
        <is>
          <t>Prix de vente = coût de revient / (1 − taux de marque)</t>
        </is>
      </c>
      <c r="B46" s="13">
        <f>ROUND(B45/(1-B43/100),2)</f>
        <v/>
      </c>
    </row>
    <row r="47">
      <c r="A47" s="3" t="inlineStr">
        <is>
          <t>Coefficient multiplicateur global = prix de vente / prix d'achat</t>
        </is>
      </c>
      <c r="B47" s="20">
        <f>ROUND(B46/B40,4)</f>
        <v/>
      </c>
    </row>
    <row r="48">
      <c r="A48" s="3" t="inlineStr">
        <is>
          <t>Piège : coût de revient × (1 + taux) donnerait (CHF)</t>
        </is>
      </c>
      <c r="B48" s="13">
        <f>ROUND(B45*(1+B43/100),2)</f>
        <v/>
      </c>
    </row>
    <row r="49">
      <c r="A49" s="3" t="inlineStr">
        <is>
          <t>Marge réelle obtenue avec ce piège (%)</t>
        </is>
      </c>
      <c r="B49" s="22">
        <f>(B48-B45)/B48*100</f>
        <v/>
      </c>
    </row>
    <row r="50">
      <c r="A50" s="3" t="inlineStr">
        <is>
          <t>Main-d'œuvre de pose = temps unitaire × taux horaire (CHF)</t>
        </is>
      </c>
      <c r="B50" s="13">
        <f>ROUND(B29*B31,2)</f>
        <v/>
      </c>
    </row>
    <row r="51">
      <c r="A51" s="3" t="inlineStr">
        <is>
          <t>Prix unitaire complet « fourni et posé » (CHF)</t>
        </is>
      </c>
      <c r="B51" s="13">
        <f>B46+B50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2026-11-06T10:26:54Z</dcterms:created>
  <dcterms:modified xsi:type="dcterms:W3CDTF">2026-11-06T10:26:54Z</dcterms:modified>
</cp:coreProperties>
</file>