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À lire" sheetId="1" state="visible" r:id="rId1"/>
    <sheet name="Coût véhicule (4.1)" sheetId="2" state="visible" r:id="rId2"/>
    <sheet name="Permis et tachygraphe (4.1)" sheetId="3" state="visible" r:id="rId3"/>
    <sheet name="RPLP (4.1)" sheetId="4" state="visible" r:id="rId4"/>
    <sheet name="Machines (4.2)" sheetId="5" state="visible" r:id="rId5"/>
    <sheet name="Situation d'acompte (4.3)" sheetId="6" state="visible" r:id="rId6"/>
    <sheet name="Bouclement (4.4)" sheetId="7" state="visible" r:id="rId7"/>
    <sheet name="Valorisation (4.5)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dd.mm.yyyy"/>
  </numFmts>
  <fonts count="7">
    <font>
      <name val="Calibri"/>
      <family val="2"/>
      <color theme="1"/>
      <sz val="11"/>
      <scheme val="minor"/>
    </font>
    <font>
      <name val="Calibri"/>
      <b val="1"/>
      <color rgb="001E293B"/>
      <sz val="16"/>
    </font>
    <font>
      <name val="Calibri"/>
      <i val="1"/>
      <color rgb="0064748B"/>
      <sz val="10"/>
    </font>
    <font>
      <name val="Calibri"/>
      <color rgb="001E293B"/>
      <sz val="10"/>
    </font>
    <font>
      <name val="Calibri"/>
      <b val="1"/>
      <color rgb="001E293B"/>
      <sz val="10"/>
    </font>
    <font>
      <name val="Calibri"/>
      <b val="1"/>
      <color rgb="001D4ED8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DBEAFE"/>
      </patternFill>
    </fill>
    <fill>
      <patternFill patternType="solid">
        <fgColor rgb="002563EB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1" fontId="5" fillId="2" borderId="1" pivotButton="0" quotePrefix="0" xfId="0"/>
    <xf numFmtId="164" fontId="5" fillId="2" borderId="1" pivotButton="0" quotePrefix="0" xfId="0"/>
    <xf numFmtId="4" fontId="5" fillId="2" borderId="1" pivotButton="0" quotePrefix="0" xfId="0"/>
    <xf numFmtId="2" fontId="5" fillId="2" borderId="1" pivotButton="0" quotePrefix="0" xfId="0"/>
    <xf numFmtId="4" fontId="4" fillId="3" borderId="1" pivotButton="0" quotePrefix="0" xfId="0"/>
    <xf numFmtId="0" fontId="4" fillId="3" borderId="1" pivotButton="0" quotePrefix="0" xfId="0"/>
    <xf numFmtId="1" fontId="4" fillId="3" borderId="1" pivotButton="0" quotePrefix="0" xfId="0"/>
    <xf numFmtId="0" fontId="6" fillId="4" borderId="0" applyAlignment="1" pivotButton="0" quotePrefix="0" xfId="0">
      <alignment horizontal="center" vertical="center" wrapText="1"/>
    </xf>
    <xf numFmtId="164" fontId="4" fillId="3" borderId="1" pivotButton="0" quotePrefix="0" xfId="0"/>
    <xf numFmtId="165" fontId="4" fillId="3" borderId="1" pivotButton="0" quotePrefix="0" xfId="0"/>
    <xf numFmtId="2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showGridLines="0"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ACIP 2026 : gestion d'entreprise, parc roulant et fiscalité (Pilier 4)</t>
        </is>
      </c>
    </row>
    <row r="2">
      <c r="A2" s="2" t="inlineStr">
        <is>
          <t>Art Construction Index de Prix · art-construction.ch/outils/ · classeur de référence des outils 4.1 à 4.5</t>
        </is>
      </c>
    </row>
    <row r="3">
      <c r="A3" s="3" t="inlineStr"/>
    </row>
    <row r="4">
      <c r="A4" s="4" t="inlineStr">
        <is>
          <t>Contenu</t>
        </is>
      </c>
    </row>
    <row r="5">
      <c r="A5" s="3" t="inlineStr">
        <is>
          <t>• Coût véhicule (4.1) : amortissement, intérêt du capital, carburant, assurance, entretien et RPLP ; coût annuel, mensuel, journalier et par kilomètre.</t>
        </is>
      </c>
    </row>
    <row r="6">
      <c r="A6" s="3" t="inlineStr">
        <is>
          <t>• Permis et tachygraphe (4.1) : permis B / BE / C1 / C et obligation du tachygraphe selon l'ordonnance sur les chauffeurs (OTR 1), avec l'exception de l'artisan. RPLP (4.1) : selon le poids du convoi et la norme Euro.</t>
        </is>
      </c>
    </row>
    <row r="7">
      <c r="A7" s="3" t="inlineStr">
        <is>
          <t>• Machines (4.2) : tarifs journalier et horaire de location interne, régie client et seuil de rentabilité achat / location, pour 12 machines préréglées.</t>
        </is>
      </c>
    </row>
    <row r="8">
      <c r="A8" s="3" t="inlineStr">
        <is>
          <t>• Situation d'acompte (4.3) : cascade cumulée SIA 118 (rabais, retenue art. 150, prorata, escompte, acomptes) et TVA 8,1 % arrondie aux 5 centimes.</t>
        </is>
      </c>
    </row>
    <row r="9">
      <c r="A9" s="3" t="inlineStr">
        <is>
          <t>• Bouclement (4.4) : décote sur les travaux en cours, réserve sur stock, ducroire, provision de garantie, et les 12 échéances du calendrier du patron.</t>
        </is>
      </c>
    </row>
    <row r="10">
      <c r="A10" s="3" t="inlineStr">
        <is>
          <t>• Valorisation (4.5) : valeur substantielle, valeur de rendement et valeur selon la méthode des praticiens, avec fourchette de négociation.</t>
        </is>
      </c>
    </row>
    <row r="11">
      <c r="A11" s="3" t="inlineStr"/>
    </row>
    <row r="12">
      <c r="A12" s="4" t="inlineStr">
        <is>
          <t>Avertissement</t>
        </is>
      </c>
    </row>
    <row r="13">
      <c r="A13" s="3" t="inlineStr">
        <is>
          <t>Sources : OTR 1 (RS 822.221, état au 1er octobre 2026), OAC art. 3, ORPL et tarif de l'OFDF ; norme SIA 118 ; brochure no 4 de l'AFC (industrie du bâtiment) ; Code des obligations (art. 960a, 960c, 699) ; circulaire CSI no 28. Les valeurs des machines, les taux de provision et les taux de capitalisation sont des valeurs de départ du cahier des charges, à remplacer par les vôtres. Information indicative qui ne remplace pas l'avis de votre fiduciaire, de l'AFC ou de l'autorité compétente.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84" customWidth="1" min="1" max="1"/>
    <col width="20" customWidth="1" min="2" max="2"/>
  </cols>
  <sheetData>
    <row r="1">
      <c r="A1" s="5" t="inlineStr">
        <is>
          <t>4.1 · Coût de revient d'un fourgon, d'un attelage ou d'un camion</t>
        </is>
      </c>
    </row>
    <row r="2">
      <c r="A2" s="6" t="inlineStr">
        <is>
          <t>Cellules jaunes = à saisir. Amortissement linéaire, intérêt sur la valeur moyenne, carburant, frais fixes, entretien et RPLP (camion &gt; 3,5 t seulement).</t>
        </is>
      </c>
    </row>
    <row r="4">
      <c r="A4" s="3" t="inlineStr">
        <is>
          <t>Type de véhicule (1 = fourgon ≤ 3,5 t, 2 = fourgon + remorque, 3 = camion &gt; 3,5 t)</t>
        </is>
      </c>
      <c r="B4" s="7" t="n">
        <v>1</v>
      </c>
    </row>
    <row r="5">
      <c r="A5" s="3" t="inlineStr">
        <is>
          <t>Poids total autorisé (t) : sert à la RPLP du camion</t>
        </is>
      </c>
      <c r="B5" s="8" t="n">
        <v>3.5</v>
      </c>
    </row>
    <row r="6">
      <c r="A6" s="3" t="inlineStr">
        <is>
          <t>Prix d'achat HT ou valeur catalogue (CHF)</t>
        </is>
      </c>
      <c r="B6" s="9" t="n">
        <v>52000</v>
      </c>
    </row>
    <row r="7">
      <c r="A7" s="3" t="inlineStr">
        <is>
          <t>Durée d'amortissement (années)</t>
        </is>
      </c>
      <c r="B7" s="7" t="n">
        <v>5</v>
      </c>
    </row>
    <row r="8">
      <c r="A8" s="3" t="inlineStr">
        <is>
          <t>Valeur résiduelle (CHF)</t>
        </is>
      </c>
      <c r="B8" s="9" t="n">
        <v>8000</v>
      </c>
    </row>
    <row r="9">
      <c r="A9" s="3" t="inlineStr">
        <is>
          <t>Kilométrage annuel (km)</t>
        </is>
      </c>
      <c r="B9" s="7" t="n">
        <v>25000</v>
      </c>
    </row>
    <row r="10">
      <c r="A10" s="3" t="inlineStr">
        <is>
          <t>Consommation (L / 100 km)</t>
        </is>
      </c>
      <c r="B10" s="8" t="n">
        <v>10.5</v>
      </c>
    </row>
    <row r="11">
      <c r="A11" s="3" t="inlineStr">
        <is>
          <t>Prix du carburant (CHF / L)</t>
        </is>
      </c>
      <c r="B11" s="10" t="n">
        <v>1.95</v>
      </c>
    </row>
    <row r="12">
      <c r="A12" s="3" t="inlineStr">
        <is>
          <t>Assurance RC / Casco + impôt sur les plaques (CHF / an)</t>
        </is>
      </c>
      <c r="B12" s="9" t="n">
        <v>2800</v>
      </c>
    </row>
    <row r="13">
      <c r="A13" s="3" t="inlineStr">
        <is>
          <t>Entretien, pneus, service (CHF / an)</t>
        </is>
      </c>
      <c r="B13" s="9" t="n">
        <v>2400</v>
      </c>
    </row>
    <row r="14">
      <c r="A14" s="3" t="inlineStr">
        <is>
          <t>Tarif RPLP (ct. par tonne-kilomètre) : 2.39 Euro VI ; 3.26 Euro 0 à V ; 0 électrique</t>
        </is>
      </c>
      <c r="B14" s="10" t="n">
        <v>2.39</v>
      </c>
    </row>
    <row r="15">
      <c r="A15" s="3" t="inlineStr">
        <is>
          <t>Taux d'intérêt du capital immobilisé (%)</t>
        </is>
      </c>
      <c r="B15" s="8" t="n">
        <v>3.5</v>
      </c>
    </row>
    <row r="16">
      <c r="A16" s="3" t="inlineStr">
        <is>
          <t>Jours ouvrés par an (coût journalier)</t>
        </is>
      </c>
      <c r="B16" s="7" t="n">
        <v>220</v>
      </c>
    </row>
    <row r="18">
      <c r="A18" s="3" t="inlineStr">
        <is>
          <t>Amortissement annuel = (prix − valeur résiduelle) / durée (CHF)</t>
        </is>
      </c>
      <c r="B18" s="11">
        <f>ROUND((B6-MIN(B8,B6))/MAX(1,B7),2)</f>
        <v/>
      </c>
    </row>
    <row r="19">
      <c r="A19" s="3" t="inlineStr">
        <is>
          <t>Intérêt du capital immobilisé = ((prix + valeur résiduelle) / 2) × taux (CHF)</t>
        </is>
      </c>
      <c r="B19" s="11">
        <f>ROUND((B6+MIN(B8,B6))/2*B15/100,2)</f>
        <v/>
      </c>
    </row>
    <row r="20">
      <c r="A20" s="3" t="inlineStr">
        <is>
          <t>Carburant = (km / 100) × consommation × prix du litre (CHF)</t>
        </is>
      </c>
      <c r="B20" s="11">
        <f>ROUND(B9/100*B10*B11,2)</f>
        <v/>
      </c>
    </row>
    <row r="21">
      <c r="A21" s="3" t="inlineStr">
        <is>
          <t>Assurance et impôt sur les plaques (CHF)</t>
        </is>
      </c>
      <c r="B21" s="11">
        <f>ROUND(B12,2)</f>
        <v/>
      </c>
    </row>
    <row r="22">
      <c r="A22" s="3" t="inlineStr">
        <is>
          <t>Entretien, pneus, service (CHF)</t>
        </is>
      </c>
      <c r="B22" s="11">
        <f>ROUND(B13,2)</f>
        <v/>
      </c>
    </row>
    <row r="23">
      <c r="A23" s="3" t="inlineStr">
        <is>
          <t>RPLP = km × poids (t) × tarif (ct.) / 100, camion seulement (CHF)</t>
        </is>
      </c>
      <c r="B23" s="11">
        <f>IF(B4=3,ROUND(B9*B5*B14/100,2),0)</f>
        <v/>
      </c>
    </row>
    <row r="24">
      <c r="A24" s="3" t="inlineStr">
        <is>
          <t>Coût total annuel (CHF / an)</t>
        </is>
      </c>
      <c r="B24" s="11">
        <f>ROUND(B18+B19+B20+B21+B22+B23,2)</f>
        <v/>
      </c>
    </row>
    <row r="25">
      <c r="A25" s="3" t="inlineStr">
        <is>
          <t>Coût mensuel (CHF / mois)</t>
        </is>
      </c>
      <c r="B25" s="11">
        <f>ROUND(B24/12,2)</f>
        <v/>
      </c>
    </row>
    <row r="26">
      <c r="A26" s="3" t="inlineStr">
        <is>
          <t>Coût journalier (CHF / jour ouvré)</t>
        </is>
      </c>
      <c r="B26" s="11">
        <f>ROUND(B24/B16,2)</f>
        <v/>
      </c>
    </row>
    <row r="27">
      <c r="A27" s="3" t="inlineStr">
        <is>
          <t>Coût de revient par kilomètre (CHF / km)</t>
        </is>
      </c>
      <c r="B27" s="11">
        <f>IF(B9&gt;0,ROUND(B24/B9,2),"")</f>
        <v/>
      </c>
    </row>
    <row r="28">
      <c r="A28" s="3" t="inlineStr">
        <is>
          <t>Dont coûts fixes : amortissement + intérêt + assurance (CHF)</t>
        </is>
      </c>
      <c r="B28" s="11">
        <f>ROUND(B18+B19+B21,2)</f>
        <v/>
      </c>
    </row>
    <row r="29">
      <c r="A29" s="3" t="inlineStr">
        <is>
          <t>Dont coûts variables : carburant + entretien + RPLP (CHF)</t>
        </is>
      </c>
      <c r="B29" s="11">
        <f>ROUND(B20+B22+B23,2)</f>
        <v/>
      </c>
    </row>
    <row r="30">
      <c r="A30" s="3" t="inlineStr">
        <is>
          <t>Coût par km si l'on oublie l'amortissement et l'intérêt (CHF / km)</t>
        </is>
      </c>
      <c r="B30" s="11">
        <f>IF(B9&gt;0,ROUND((B24-B18-B19)/B9,2),"")</f>
        <v/>
      </c>
    </row>
    <row r="32">
      <c r="A32" s="3" t="inlineStr">
        <is>
          <t>Un fourgon de 3,5 t avec une remorque de 3,5 t au plus ne paie pas la RPLP : seuls les véhicules et remorques de plus de 3,5 t y sont soumis (laissez le type 1 ou 2).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84" customWidth="1" min="1" max="1"/>
    <col width="20" customWidth="1" min="2" max="2"/>
  </cols>
  <sheetData>
    <row r="1">
      <c r="A1" s="5" t="inlineStr">
        <is>
          <t>4.1 · Permis de conduire et tachygraphe (OTR 1 art. 3 et 4 ; OAC art. 3)</t>
        </is>
      </c>
    </row>
    <row r="2">
      <c r="A2" s="6" t="inlineStr">
        <is>
          <t>Cellules jaunes = à saisir. Exception de l'artisan : art. 4 al. 1 let. k OTR 1 (en vigueur depuis le 1er juillet 2026).</t>
        </is>
      </c>
    </row>
    <row r="4">
      <c r="A4" s="3" t="inlineStr">
        <is>
          <t>Type de véhicule (1 = fourgon ≤ 3,5 t, 2 = fourgon + remorque, 3 = camion &gt; 3,5 t)</t>
        </is>
      </c>
      <c r="B4" s="7" t="n">
        <v>2</v>
      </c>
    </row>
    <row r="5">
      <c r="A5" s="3" t="inlineStr">
        <is>
          <t>Poids total autorisé du véhicule ou de l'ensemble (t)</t>
        </is>
      </c>
      <c r="B5" s="8" t="n">
        <v>5.5</v>
      </c>
    </row>
    <row r="6">
      <c r="A6" s="3" t="inlineStr">
        <is>
          <t>Trajets aussi à l'étranger (1 = oui, 0 = Suisse uniquement)</t>
        </is>
      </c>
      <c r="B6" s="7" t="n">
        <v>0</v>
      </c>
    </row>
    <row r="7">
      <c r="A7" s="3" t="inlineStr">
        <is>
          <t>Propre matériel, rayon ≤ 100 km autour du siège (1 = oui)</t>
        </is>
      </c>
      <c r="B7" s="7" t="n">
        <v>0</v>
      </c>
    </row>
    <row r="8">
      <c r="A8" s="3" t="inlineStr">
        <is>
          <t>Conduite au plus la moitié du temps de travail hebdomadaire (1 = oui)</t>
        </is>
      </c>
      <c r="B8" s="7" t="n">
        <v>0</v>
      </c>
    </row>
    <row r="10">
      <c r="A10" s="3" t="inlineStr">
        <is>
          <t>Permis de conduire (B ; BE dès 3'500 kg d'ensemble ; C1 jusqu'à 7,5 t ; C au-delà)</t>
        </is>
      </c>
      <c r="B10" s="12">
        <f>IF(B4=1,"B",IF(B4=2,"BE",IF(B5&lt;=7.5,"C1","C")))</f>
        <v/>
      </c>
    </row>
    <row r="11">
      <c r="A11" s="3" t="inlineStr">
        <is>
          <t>Soumis à l'OTR 1 (1 = oui) : camion &gt; 3,5 t ; ensemble &gt; 3,5 t à l'étranger ; fourgon &gt; 2,5 t à l'étranger</t>
        </is>
      </c>
      <c r="B11" s="13">
        <f>IF(B4=3,1,IF(B4=2,B6,IF(AND(B6=1,B5&gt;2.5),1,0)))</f>
        <v/>
      </c>
    </row>
    <row r="12">
      <c r="A12" s="3" t="inlineStr">
        <is>
          <t>Poids ≤ 7,5 t (1 = oui)</t>
        </is>
      </c>
      <c r="B12" s="13">
        <f>IF(B5&lt;=7.5,1,0)</f>
        <v/>
      </c>
    </row>
    <row r="13">
      <c r="A13" s="3" t="inlineStr">
        <is>
          <t>Tachygraphe (non = hors OTR 1 ; exo = exception de l'artisan ; oui = obligatoire)</t>
        </is>
      </c>
      <c r="B13" s="12">
        <f>IF(B11=0,"non",IF(AND(B12=1,B7=1,B8=1),"exo","oui"))</f>
        <v/>
      </c>
    </row>
    <row r="15">
      <c r="A15" s="3" t="inlineStr">
        <is>
          <t>Trafic interne (art. 4 al. 2 let. b OTR 1) : l'ordonnance ne s'applique pas à un ensemble dont le véhicule tracteur n'excède pas 3,5 t. L'OTR 2 (RS 822.222) vise les véhicules légers de transport de personnes, pas les fourgons de marchandises.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22" customWidth="1" min="2" max="2"/>
    <col width="22" customWidth="1" min="3" max="3"/>
    <col width="22" customWidth="1" min="4" max="4"/>
  </cols>
  <sheetData>
    <row r="1">
      <c r="A1" s="5" t="inlineStr">
        <is>
          <t>4.1 · Redevance sur le trafic des poids lourds liée aux prestations (RPLP)</t>
        </is>
      </c>
    </row>
    <row r="2">
      <c r="A2" s="6" t="inlineStr">
        <is>
          <t>RPLP = kilomètres × poids total autorisé du convoi (t) × tarif (ct. par tonne-kilomètre) / 100. Tarif 2025 et 2026 : Euro VI 2,39 ct. ; Euro 0 à V 3,26 ct. ; électrique exonéré.</t>
        </is>
      </c>
    </row>
    <row r="4">
      <c r="A4" s="3" t="inlineStr">
        <is>
          <t>Kilomètres par an</t>
        </is>
      </c>
      <c r="B4" s="7" t="n">
        <v>25000</v>
      </c>
    </row>
    <row r="5">
      <c r="A5" s="3" t="inlineStr">
        <is>
          <t>Poids total autorisé du convoi (t)</t>
        </is>
      </c>
      <c r="B5" s="8" t="n">
        <v>18</v>
      </c>
    </row>
    <row r="6">
      <c r="A6" s="3" t="inlineStr">
        <is>
          <t>Tarif (ct. par t-km)</t>
        </is>
      </c>
      <c r="B6" s="10" t="n">
        <v>2.39</v>
      </c>
    </row>
    <row r="7">
      <c r="A7" s="3" t="inlineStr">
        <is>
          <t>RPLP annuelle (CHF)</t>
        </is>
      </c>
      <c r="B7" s="11">
        <f>ROUND(B4*B5*B6/100,2)</f>
        <v/>
      </c>
    </row>
    <row r="9">
      <c r="A9" s="3" t="inlineStr">
        <is>
          <t>Tarifs (ct. par t-km)</t>
        </is>
      </c>
      <c r="B9" s="10" t="n">
        <v>2.39</v>
      </c>
      <c r="C9" s="10" t="n">
        <v>3.26</v>
      </c>
      <c r="D9" s="10" t="n">
        <v>0</v>
      </c>
    </row>
    <row r="10">
      <c r="A10" s="14" t="inlineStr">
        <is>
          <t>Poids du convoi</t>
        </is>
      </c>
      <c r="B10" s="14" t="inlineStr">
        <is>
          <t>Euro VI (2.39 ct.)</t>
        </is>
      </c>
      <c r="C10" s="14" t="inlineStr">
        <is>
          <t>Euro 0 à V (3.26 ct.)</t>
        </is>
      </c>
      <c r="D10" s="14" t="inlineStr">
        <is>
          <t>Électrique</t>
        </is>
      </c>
    </row>
    <row r="11">
      <c r="A11" s="8" t="n">
        <v>12</v>
      </c>
      <c r="B11" s="11">
        <f>ROUND($B$4*$A11*B$9/100,2)</f>
        <v/>
      </c>
      <c r="C11" s="11">
        <f>ROUND($B$4*$A11*C$9/100,2)</f>
        <v/>
      </c>
      <c r="D11" s="11">
        <f>ROUND($B$4*$A11*D$9/100,2)</f>
        <v/>
      </c>
    </row>
    <row r="12">
      <c r="A12" s="8" t="n">
        <v>18</v>
      </c>
      <c r="B12" s="11">
        <f>ROUND($B$4*$A12*B$9/100,2)</f>
        <v/>
      </c>
      <c r="C12" s="11">
        <f>ROUND($B$4*$A12*C$9/100,2)</f>
        <v/>
      </c>
      <c r="D12" s="11">
        <f>ROUND($B$4*$A12*D$9/100,2)</f>
        <v/>
      </c>
    </row>
    <row r="13">
      <c r="A13" s="8" t="n">
        <v>26</v>
      </c>
      <c r="B13" s="11">
        <f>ROUND($B$4*$A13*B$9/100,2)</f>
        <v/>
      </c>
      <c r="C13" s="11">
        <f>ROUND($B$4*$A13*C$9/100,2)</f>
        <v/>
      </c>
      <c r="D13" s="11">
        <f>ROUND($B$4*$A13*D$9/100,2)</f>
        <v/>
      </c>
    </row>
    <row r="14">
      <c r="A14" s="8" t="n">
        <v>40</v>
      </c>
      <c r="B14" s="11">
        <f>ROUND($B$4*$A14*B$9/100,2)</f>
        <v/>
      </c>
      <c r="C14" s="11">
        <f>ROUND($B$4*$A14*C$9/100,2)</f>
        <v/>
      </c>
      <c r="D14" s="11">
        <f>ROUND($B$4*$A14*D$9/100,2)</f>
        <v/>
      </c>
    </row>
    <row r="16">
      <c r="A16" s="3" t="inlineStr">
        <is>
          <t>Jusqu'au 31.12.2024 : 2.28 ct. (Euro VI), 3.1 ct. (Euro 0 à V). Hausse d'environ 5 % au 1.1.2025. Véhicules électriques exonérés (probablement jusqu'à fin 2028 selon l'OFDF).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40"/>
  <sheetViews>
    <sheetView showGridLines="0" workbookViewId="0">
      <selection activeCell="A1" sqref="A1"/>
    </sheetView>
  </sheetViews>
  <sheetFormatPr baseColWidth="8" defaultRowHeight="15"/>
  <cols>
    <col width="70" customWidth="1" min="1" max="1"/>
    <col width="16" customWidth="1" min="2" max="2"/>
    <col width="12" customWidth="1" min="3" max="3"/>
    <col width="12" customWidth="1" min="4" max="4"/>
    <col width="12" customWidth="1" min="5" max="5"/>
    <col width="12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5" t="inlineStr">
        <is>
          <t>4.2 · Location interne et amortissement des machines de chantier (méthode inspirée du catalogue SSE)</t>
        </is>
      </c>
    </row>
    <row r="2">
      <c r="A2" s="6" t="inlineStr">
        <is>
          <t>Cellules jaunes = à saisir. Amortissement + intérêt = valeur / durée + valeur × 0,60 × 3,75 % ; réparations = amortissement linéaire × coefficient ; assurance = 2 % ; régie = tarif horaire × 1,15.</t>
        </is>
      </c>
    </row>
    <row r="4">
      <c r="A4" s="3" t="inlineStr">
        <is>
          <t>Valeur neuve (CHF)</t>
        </is>
      </c>
      <c r="B4" s="9" t="n">
        <v>42000</v>
      </c>
    </row>
    <row r="5">
      <c r="A5" s="3" t="inlineStr">
        <is>
          <t>Durée de vie (années)</t>
        </is>
      </c>
      <c r="B5" s="7" t="n">
        <v>8</v>
      </c>
    </row>
    <row r="6">
      <c r="A6" s="3" t="inlineStr">
        <is>
          <t>Jours d'utilisation facturés par an</t>
        </is>
      </c>
      <c r="B6" s="7" t="n">
        <v>140</v>
      </c>
    </row>
    <row r="7">
      <c r="A7" s="3" t="inlineStr">
        <is>
          <t>Heures productives de fonctionnement par an</t>
        </is>
      </c>
      <c r="B7" s="7" t="n">
        <v>700</v>
      </c>
    </row>
    <row r="8">
      <c r="A8" s="3" t="inlineStr">
        <is>
          <t>Coefficient de réparation (% de l'amortissement)</t>
        </is>
      </c>
      <c r="B8" s="7" t="n">
        <v>60</v>
      </c>
    </row>
    <row r="9">
      <c r="A9" s="3" t="inlineStr">
        <is>
          <t>Location externe de la même machine (CHF par jour)</t>
        </is>
      </c>
      <c r="B9" s="9" t="n">
        <v>252</v>
      </c>
    </row>
    <row r="10">
      <c r="A10" s="3" t="inlineStr">
        <is>
          <t>Carburant ajouté à la régie (CHF / h)</t>
        </is>
      </c>
      <c r="B10" s="10" t="n">
        <v>0</v>
      </c>
    </row>
    <row r="11">
      <c r="A11" s="3" t="inlineStr">
        <is>
          <t>Opérateur ajouté à la régie (CHF / h)</t>
        </is>
      </c>
      <c r="B11" s="10" t="n">
        <v>0</v>
      </c>
    </row>
    <row r="12">
      <c r="A12" s="3" t="inlineStr">
        <is>
          <t>Heures de présence par jour (calcul du coût d'une heure de présence)</t>
        </is>
      </c>
      <c r="B12" s="10" t="n">
        <v>8.25</v>
      </c>
    </row>
    <row r="14">
      <c r="A14" s="3" t="inlineStr">
        <is>
          <t>Amortissement + intérêt = valeur / durée + valeur × 0,60 × 3,75 % (CHF / an)</t>
        </is>
      </c>
      <c r="B14" s="11">
        <f>ROUND(B4/MAX(1,B5)+B4*0.6*3.75/100,2)</f>
        <v/>
      </c>
    </row>
    <row r="15">
      <c r="A15" s="3" t="inlineStr">
        <is>
          <t>Réparations et entretien = (valeur / durée) × coefficient (CHF / an)</t>
        </is>
      </c>
      <c r="B15" s="11">
        <f>ROUND(B4/MAX(1,B5)*B8/100,2)</f>
        <v/>
      </c>
    </row>
    <row r="16">
      <c r="A16" s="3" t="inlineStr">
        <is>
          <t>Assurance, bris de machine et stockage : 2.0 % de la valeur (CHF / an)</t>
        </is>
      </c>
      <c r="B16" s="11">
        <f>ROUND(B4*2.0/100,2)</f>
        <v/>
      </c>
    </row>
    <row r="17">
      <c r="A17" s="3" t="inlineStr">
        <is>
          <t>Coût annuel de détention (CHF / an)</t>
        </is>
      </c>
      <c r="B17" s="11">
        <f>ROUND(B14+B15+B16,2)</f>
        <v/>
      </c>
    </row>
    <row r="18">
      <c r="A18" s="3" t="inlineStr">
        <is>
          <t>Tarif journalier interne (CHF / jour)</t>
        </is>
      </c>
      <c r="B18" s="11">
        <f>ROUND(B17/MAX(1,B6),2)</f>
        <v/>
      </c>
    </row>
    <row r="19">
      <c r="A19" s="3" t="inlineStr">
        <is>
          <t>Tarif horaire interne, machine pure (CHF / h)</t>
        </is>
      </c>
      <c r="B19" s="11">
        <f>ROUND(B17/MAX(1,B7),2)</f>
        <v/>
      </c>
    </row>
    <row r="20">
      <c r="A20" s="3" t="inlineStr">
        <is>
          <t>Tarif de régie client HT : tarif horaire × 1.15 (CHF / h)</t>
        </is>
      </c>
      <c r="B20" s="11">
        <f>ROUND(B19*1.15,2)</f>
        <v/>
      </c>
    </row>
    <row r="21">
      <c r="A21" s="3" t="inlineStr">
        <is>
          <t>Tarif de régie avec carburant et opérateur (CHF / h)</t>
        </is>
      </c>
      <c r="B21" s="11">
        <f>ROUND(B20+ROUND(B10,2)+ROUND(B11,2),2)</f>
        <v/>
      </c>
    </row>
    <row r="22">
      <c r="A22" s="3" t="inlineStr">
        <is>
          <t>Coûts fixes : amortissement + intérêt + assurance (CHF / an)</t>
        </is>
      </c>
      <c r="B22" s="11">
        <f>ROUND(B14+B16,2)</f>
        <v/>
      </c>
    </row>
    <row r="23">
      <c r="A23" s="3" t="inlineStr">
        <is>
          <t>Coût de la location externe pour les jours prévus (CHF / an)</t>
        </is>
      </c>
      <c r="B23" s="11">
        <f>ROUND(B9*B6,2)</f>
        <v/>
      </c>
    </row>
    <row r="24">
      <c r="A24" s="3" t="inlineStr">
        <is>
          <t>Seuil de rentabilité : jours par an à partir desquels l'achat est moins cher</t>
        </is>
      </c>
      <c r="B24" s="15">
        <f>IF(B9&gt;B15/MAX(1,B6),ROUND(B22/(B9-B15/MAX(1,B6)),1),"")</f>
        <v/>
      </c>
    </row>
    <row r="25">
      <c r="A25" s="3" t="inlineStr">
        <is>
          <t>Verdict (acheter si le coût de détention ne dépasse pas la location)</t>
        </is>
      </c>
      <c r="B25" s="12">
        <f>IF(B17&lt;=B23,"acheter","louer")</f>
        <v/>
      </c>
    </row>
    <row r="28">
      <c r="A28" s="14" t="inlineStr">
        <is>
          <t>Machine</t>
        </is>
      </c>
      <c r="B28" s="14" t="inlineStr">
        <is>
          <t>Valeur neuve</t>
        </is>
      </c>
      <c r="C28" s="14" t="inlineStr">
        <is>
          <t>Durée (ans)</t>
        </is>
      </c>
      <c r="D28" s="14" t="inlineStr">
        <is>
          <t>Jours / an</t>
        </is>
      </c>
      <c r="E28" s="14" t="inlineStr">
        <is>
          <t>Heures / an</t>
        </is>
      </c>
      <c r="F28" s="14" t="inlineStr">
        <is>
          <t>Réparation %</t>
        </is>
      </c>
      <c r="G28" s="14" t="inlineStr">
        <is>
          <t>Amort. + intérêt</t>
        </is>
      </c>
      <c r="H28" s="14" t="inlineStr">
        <is>
          <t>Réparations</t>
        </is>
      </c>
      <c r="I28" s="14" t="inlineStr">
        <is>
          <t>Assurance</t>
        </is>
      </c>
      <c r="J28" s="14" t="inlineStr">
        <is>
          <t>Coût annuel</t>
        </is>
      </c>
      <c r="K28" s="14" t="inlineStr">
        <is>
          <t>Tarif jour</t>
        </is>
      </c>
      <c r="L28" s="14" t="inlineStr">
        <is>
          <t>Tarif heure</t>
        </is>
      </c>
      <c r="M28" s="14" t="inlineStr">
        <is>
          <t>Régie client / h</t>
        </is>
      </c>
    </row>
    <row r="29">
      <c r="A29" s="3" t="inlineStr">
        <is>
          <t>Mini-pelle sur chenilles 2.5 t</t>
        </is>
      </c>
      <c r="B29" s="9" t="n">
        <v>42000</v>
      </c>
      <c r="C29" s="7" t="n">
        <v>8</v>
      </c>
      <c r="D29" s="7" t="n">
        <v>140</v>
      </c>
      <c r="E29" s="7" t="n">
        <v>700</v>
      </c>
      <c r="F29" s="7" t="n">
        <v>60</v>
      </c>
      <c r="G29" s="11">
        <f>ROUND(B29/MAX(1,C29)+B29*0.6*3.75/100,2)</f>
        <v/>
      </c>
      <c r="H29" s="11">
        <f>ROUND(B29/MAX(1,C29)*F29/100,2)</f>
        <v/>
      </c>
      <c r="I29" s="11">
        <f>ROUND(B29*2.0/100,2)</f>
        <v/>
      </c>
      <c r="J29" s="11">
        <f>ROUND(G29+H29+I29,2)</f>
        <v/>
      </c>
      <c r="K29" s="11">
        <f>ROUND(J29/MAX(1,D29),2)</f>
        <v/>
      </c>
      <c r="L29" s="11">
        <f>ROUND(J29/MAX(1,E29),2)</f>
        <v/>
      </c>
      <c r="M29" s="11">
        <f>ROUND(L29*1.15,2)</f>
        <v/>
      </c>
    </row>
    <row r="30">
      <c r="A30" s="3" t="inlineStr">
        <is>
          <t>Pelle hydraulique sur chenilles 8.5 t</t>
        </is>
      </c>
      <c r="B30" s="9" t="n">
        <v>115000</v>
      </c>
      <c r="C30" s="7" t="n">
        <v>9</v>
      </c>
      <c r="D30" s="7" t="n">
        <v>150</v>
      </c>
      <c r="E30" s="7" t="n">
        <v>850</v>
      </c>
      <c r="F30" s="7" t="n">
        <v>65</v>
      </c>
      <c r="G30" s="11">
        <f>ROUND(B30/MAX(1,C30)+B30*0.6*3.75/100,2)</f>
        <v/>
      </c>
      <c r="H30" s="11">
        <f>ROUND(B30/MAX(1,C30)*F30/100,2)</f>
        <v/>
      </c>
      <c r="I30" s="11">
        <f>ROUND(B30*2.0/100,2)</f>
        <v/>
      </c>
      <c r="J30" s="11">
        <f>ROUND(G30+H30+I30,2)</f>
        <v/>
      </c>
      <c r="K30" s="11">
        <f>ROUND(J30/MAX(1,D30),2)</f>
        <v/>
      </c>
      <c r="L30" s="11">
        <f>ROUND(J30/MAX(1,E30),2)</f>
        <v/>
      </c>
      <c r="M30" s="11">
        <f>ROUND(L30*1.15,2)</f>
        <v/>
      </c>
    </row>
    <row r="31">
      <c r="A31" s="3" t="inlineStr">
        <is>
          <t>Pelle sur pneus / chenilles 15 t</t>
        </is>
      </c>
      <c r="B31" s="9" t="n">
        <v>195000</v>
      </c>
      <c r="C31" s="7" t="n">
        <v>10</v>
      </c>
      <c r="D31" s="7" t="n">
        <v>160</v>
      </c>
      <c r="E31" s="7" t="n">
        <v>1000</v>
      </c>
      <c r="F31" s="7" t="n">
        <v>70</v>
      </c>
      <c r="G31" s="11">
        <f>ROUND(B31/MAX(1,C31)+B31*0.6*3.75/100,2)</f>
        <v/>
      </c>
      <c r="H31" s="11">
        <f>ROUND(B31/MAX(1,C31)*F31/100,2)</f>
        <v/>
      </c>
      <c r="I31" s="11">
        <f>ROUND(B31*2.0/100,2)</f>
        <v/>
      </c>
      <c r="J31" s="11">
        <f>ROUND(G31+H31+I31,2)</f>
        <v/>
      </c>
      <c r="K31" s="11">
        <f>ROUND(J31/MAX(1,D31),2)</f>
        <v/>
      </c>
      <c r="L31" s="11">
        <f>ROUND(J31/MAX(1,E31),2)</f>
        <v/>
      </c>
      <c r="M31" s="11">
        <f>ROUND(L31*1.15,2)</f>
        <v/>
      </c>
    </row>
    <row r="32">
      <c r="A32" s="3" t="inlineStr">
        <is>
          <t>Dumper articulé sur pneus 3.0 t</t>
        </is>
      </c>
      <c r="B32" s="9" t="n">
        <v>38000</v>
      </c>
      <c r="C32" s="7" t="n">
        <v>8</v>
      </c>
      <c r="D32" s="7" t="n">
        <v>130</v>
      </c>
      <c r="E32" s="7" t="n">
        <v>600</v>
      </c>
      <c r="F32" s="7" t="n">
        <v>55</v>
      </c>
      <c r="G32" s="11">
        <f>ROUND(B32/MAX(1,C32)+B32*0.6*3.75/100,2)</f>
        <v/>
      </c>
      <c r="H32" s="11">
        <f>ROUND(B32/MAX(1,C32)*F32/100,2)</f>
        <v/>
      </c>
      <c r="I32" s="11">
        <f>ROUND(B32*2.0/100,2)</f>
        <v/>
      </c>
      <c r="J32" s="11">
        <f>ROUND(G32+H32+I32,2)</f>
        <v/>
      </c>
      <c r="K32" s="11">
        <f>ROUND(J32/MAX(1,D32),2)</f>
        <v/>
      </c>
      <c r="L32" s="11">
        <f>ROUND(J32/MAX(1,E32),2)</f>
        <v/>
      </c>
      <c r="M32" s="11">
        <f>ROUND(L32*1.15,2)</f>
        <v/>
      </c>
    </row>
    <row r="33">
      <c r="A33" s="3" t="inlineStr">
        <is>
          <t>Plaque vibrante réversible 400 kg</t>
        </is>
      </c>
      <c r="B33" s="9" t="n">
        <v>9500</v>
      </c>
      <c r="C33" s="7" t="n">
        <v>6</v>
      </c>
      <c r="D33" s="7" t="n">
        <v>110</v>
      </c>
      <c r="E33" s="7" t="n">
        <v>400</v>
      </c>
      <c r="F33" s="7" t="n">
        <v>65</v>
      </c>
      <c r="G33" s="11">
        <f>ROUND(B33/MAX(1,C33)+B33*0.6*3.75/100,2)</f>
        <v/>
      </c>
      <c r="H33" s="11">
        <f>ROUND(B33/MAX(1,C33)*F33/100,2)</f>
        <v/>
      </c>
      <c r="I33" s="11">
        <f>ROUND(B33*2.0/100,2)</f>
        <v/>
      </c>
      <c r="J33" s="11">
        <f>ROUND(G33+H33+I33,2)</f>
        <v/>
      </c>
      <c r="K33" s="11">
        <f>ROUND(J33/MAX(1,D33),2)</f>
        <v/>
      </c>
      <c r="L33" s="11">
        <f>ROUND(J33/MAX(1,E33),2)</f>
        <v/>
      </c>
      <c r="M33" s="11">
        <f>ROUND(L33*1.15,2)</f>
        <v/>
      </c>
    </row>
    <row r="34">
      <c r="A34" s="3" t="inlineStr">
        <is>
          <t>Rouleau tandem vibrant 2.5 t</t>
        </is>
      </c>
      <c r="B34" s="9" t="n">
        <v>45000</v>
      </c>
      <c r="C34" s="7" t="n">
        <v>8</v>
      </c>
      <c r="D34" s="7" t="n">
        <v>100</v>
      </c>
      <c r="E34" s="7" t="n">
        <v>450</v>
      </c>
      <c r="F34" s="7" t="n">
        <v>55</v>
      </c>
      <c r="G34" s="11">
        <f>ROUND(B34/MAX(1,C34)+B34*0.6*3.75/100,2)</f>
        <v/>
      </c>
      <c r="H34" s="11">
        <f>ROUND(B34/MAX(1,C34)*F34/100,2)</f>
        <v/>
      </c>
      <c r="I34" s="11">
        <f>ROUND(B34*2.0/100,2)</f>
        <v/>
      </c>
      <c r="J34" s="11">
        <f>ROUND(G34+H34+I34,2)</f>
        <v/>
      </c>
      <c r="K34" s="11">
        <f>ROUND(J34/MAX(1,D34),2)</f>
        <v/>
      </c>
      <c r="L34" s="11">
        <f>ROUND(J34/MAX(1,E34),2)</f>
        <v/>
      </c>
      <c r="M34" s="11">
        <f>ROUND(L34*1.15,2)</f>
        <v/>
      </c>
    </row>
    <row r="35">
      <c r="A35" s="3" t="inlineStr">
        <is>
          <t>Grue à montage rapide (GMR) 26 m</t>
        </is>
      </c>
      <c r="B35" s="9" t="n">
        <v>135000</v>
      </c>
      <c r="C35" s="7" t="n">
        <v>12</v>
      </c>
      <c r="D35" s="7" t="n">
        <v>180</v>
      </c>
      <c r="E35" s="7" t="n">
        <v>900</v>
      </c>
      <c r="F35" s="7" t="n">
        <v>45</v>
      </c>
      <c r="G35" s="11">
        <f>ROUND(B35/MAX(1,C35)+B35*0.6*3.75/100,2)</f>
        <v/>
      </c>
      <c r="H35" s="11">
        <f>ROUND(B35/MAX(1,C35)*F35/100,2)</f>
        <v/>
      </c>
      <c r="I35" s="11">
        <f>ROUND(B35*2.0/100,2)</f>
        <v/>
      </c>
      <c r="J35" s="11">
        <f>ROUND(G35+H35+I35,2)</f>
        <v/>
      </c>
      <c r="K35" s="11">
        <f>ROUND(J35/MAX(1,D35),2)</f>
        <v/>
      </c>
      <c r="L35" s="11">
        <f>ROUND(J35/MAX(1,E35),2)</f>
        <v/>
      </c>
      <c r="M35" s="11">
        <f>ROUND(L35*1.15,2)</f>
        <v/>
      </c>
    </row>
    <row r="36">
      <c r="A36" s="3" t="inlineStr">
        <is>
          <t>Chariot télescopique rotatif (Manitou) 18 m</t>
        </is>
      </c>
      <c r="B36" s="9" t="n">
        <v>145000</v>
      </c>
      <c r="C36" s="7" t="n">
        <v>9</v>
      </c>
      <c r="D36" s="7" t="n">
        <v>160</v>
      </c>
      <c r="E36" s="7" t="n">
        <v>900</v>
      </c>
      <c r="F36" s="7" t="n">
        <v>60</v>
      </c>
      <c r="G36" s="11">
        <f>ROUND(B36/MAX(1,C36)+B36*0.6*3.75/100,2)</f>
        <v/>
      </c>
      <c r="H36" s="11">
        <f>ROUND(B36/MAX(1,C36)*F36/100,2)</f>
        <v/>
      </c>
      <c r="I36" s="11">
        <f>ROUND(B36*2.0/100,2)</f>
        <v/>
      </c>
      <c r="J36" s="11">
        <f>ROUND(G36+H36+I36,2)</f>
        <v/>
      </c>
      <c r="K36" s="11">
        <f>ROUND(J36/MAX(1,D36),2)</f>
        <v/>
      </c>
      <c r="L36" s="11">
        <f>ROUND(J36/MAX(1,E36),2)</f>
        <v/>
      </c>
      <c r="M36" s="11">
        <f>ROUND(L36*1.15,2)</f>
        <v/>
      </c>
    </row>
    <row r="37">
      <c r="A37" s="3" t="inlineStr">
        <is>
          <t>Compresseur de chantier mobile 4 m3/min</t>
        </is>
      </c>
      <c r="B37" s="9" t="n">
        <v>18500</v>
      </c>
      <c r="C37" s="7" t="n">
        <v>8</v>
      </c>
      <c r="D37" s="7" t="n">
        <v>120</v>
      </c>
      <c r="E37" s="7" t="n">
        <v>500</v>
      </c>
      <c r="F37" s="7" t="n">
        <v>50</v>
      </c>
      <c r="G37" s="11">
        <f>ROUND(B37/MAX(1,C37)+B37*0.6*3.75/100,2)</f>
        <v/>
      </c>
      <c r="H37" s="11">
        <f>ROUND(B37/MAX(1,C37)*F37/100,2)</f>
        <v/>
      </c>
      <c r="I37" s="11">
        <f>ROUND(B37*2.0/100,2)</f>
        <v/>
      </c>
      <c r="J37" s="11">
        <f>ROUND(G37+H37+I37,2)</f>
        <v/>
      </c>
      <c r="K37" s="11">
        <f>ROUND(J37/MAX(1,D37),2)</f>
        <v/>
      </c>
      <c r="L37" s="11">
        <f>ROUND(J37/MAX(1,E37),2)</f>
        <v/>
      </c>
      <c r="M37" s="11">
        <f>ROUND(L37*1.15,2)</f>
        <v/>
      </c>
    </row>
    <row r="38">
      <c r="A38" s="3" t="inlineStr">
        <is>
          <t>Nacelle élévatrice ciseaux électrique 10 m</t>
        </is>
      </c>
      <c r="B38" s="9" t="n">
        <v>24000</v>
      </c>
      <c r="C38" s="7" t="n">
        <v>8</v>
      </c>
      <c r="D38" s="7" t="n">
        <v>130</v>
      </c>
      <c r="E38" s="7" t="n">
        <v>500</v>
      </c>
      <c r="F38" s="7" t="n">
        <v>45</v>
      </c>
      <c r="G38" s="11">
        <f>ROUND(B38/MAX(1,C38)+B38*0.6*3.75/100,2)</f>
        <v/>
      </c>
      <c r="H38" s="11">
        <f>ROUND(B38/MAX(1,C38)*F38/100,2)</f>
        <v/>
      </c>
      <c r="I38" s="11">
        <f>ROUND(B38*2.0/100,2)</f>
        <v/>
      </c>
      <c r="J38" s="11">
        <f>ROUND(G38+H38+I38,2)</f>
        <v/>
      </c>
      <c r="K38" s="11">
        <f>ROUND(J38/MAX(1,D38),2)</f>
        <v/>
      </c>
      <c r="L38" s="11">
        <f>ROUND(J38/MAX(1,E38),2)</f>
        <v/>
      </c>
      <c r="M38" s="11">
        <f>ROUND(L38*1.15,2)</f>
        <v/>
      </c>
    </row>
    <row r="39">
      <c r="A39" s="3" t="inlineStr">
        <is>
          <t>Scie à sol thermique / Carotteuse pro</t>
        </is>
      </c>
      <c r="B39" s="9" t="n">
        <v>6800</v>
      </c>
      <c r="C39" s="7" t="n">
        <v>5</v>
      </c>
      <c r="D39" s="7" t="n">
        <v>90</v>
      </c>
      <c r="E39" s="7" t="n">
        <v>300</v>
      </c>
      <c r="F39" s="7" t="n">
        <v>70</v>
      </c>
      <c r="G39" s="11">
        <f>ROUND(B39/MAX(1,C39)+B39*0.6*3.75/100,2)</f>
        <v/>
      </c>
      <c r="H39" s="11">
        <f>ROUND(B39/MAX(1,C39)*F39/100,2)</f>
        <v/>
      </c>
      <c r="I39" s="11">
        <f>ROUND(B39*2.0/100,2)</f>
        <v/>
      </c>
      <c r="J39" s="11">
        <f>ROUND(G39+H39+I39,2)</f>
        <v/>
      </c>
      <c r="K39" s="11">
        <f>ROUND(J39/MAX(1,D39),2)</f>
        <v/>
      </c>
      <c r="L39" s="11">
        <f>ROUND(J39/MAX(1,E39),2)</f>
        <v/>
      </c>
      <c r="M39" s="11">
        <f>ROUND(L39*1.15,2)</f>
        <v/>
      </c>
    </row>
    <row r="40">
      <c r="A40" s="3" t="inlineStr">
        <is>
          <t>Laser rotatif chantier + Niveau optique</t>
        </is>
      </c>
      <c r="B40" s="9" t="n">
        <v>3200</v>
      </c>
      <c r="C40" s="7" t="n">
        <v>5</v>
      </c>
      <c r="D40" s="7" t="n">
        <v>160</v>
      </c>
      <c r="E40" s="7" t="n">
        <v>600</v>
      </c>
      <c r="F40" s="7" t="n">
        <v>35</v>
      </c>
      <c r="G40" s="11">
        <f>ROUND(B40/MAX(1,C40)+B40*0.6*3.75/100,2)</f>
        <v/>
      </c>
      <c r="H40" s="11">
        <f>ROUND(B40/MAX(1,C40)*F40/100,2)</f>
        <v/>
      </c>
      <c r="I40" s="11">
        <f>ROUND(B40*2.0/100,2)</f>
        <v/>
      </c>
      <c r="J40" s="11">
        <f>ROUND(G40+H40+I40,2)</f>
        <v/>
      </c>
      <c r="K40" s="11">
        <f>ROUND(J40/MAX(1,D40),2)</f>
        <v/>
      </c>
      <c r="L40" s="11">
        <f>ROUND(J40/MAX(1,E40),2)</f>
        <v/>
      </c>
      <c r="M40" s="11">
        <f>ROUND(L40*1.15,2)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84" customWidth="1" min="1" max="1"/>
    <col width="20" customWidth="1" min="2" max="2"/>
  </cols>
  <sheetData>
    <row r="1">
      <c r="A1" s="5" t="inlineStr">
        <is>
          <t>4.3 · Situation d'acompte cumulée, retenue de garantie (art. 150 SIA 118) et TVA 8,1 %</t>
        </is>
      </c>
    </row>
    <row r="2">
      <c r="A2" s="6" t="inlineStr">
        <is>
          <t>Cellules jaunes = à saisir. Cascade : brut − rabais = net ; − retenue − prorata − escompte − acomptes = net à payer HT ; + TVA arrondie aux 5 centimes. Décompte final : la retenue n'est pas déduite (brochure AFC no 4, ch. 8.4).</t>
        </is>
      </c>
    </row>
    <row r="4">
      <c r="A4" s="3" t="inlineStr">
        <is>
          <t>Régime (1 = SIA 118 art. 144-152, 0 = Code des obligations)</t>
        </is>
      </c>
      <c r="B4" s="7" t="n">
        <v>1</v>
      </c>
    </row>
    <row r="5">
      <c r="A5" s="3" t="inlineStr">
        <is>
          <t>Contrat total HT (CHF)</t>
        </is>
      </c>
      <c r="B5" s="9" t="n">
        <v>250000</v>
      </c>
    </row>
    <row r="6">
      <c r="A6" s="3" t="inlineStr">
        <is>
          <t>Travaux bruts cumulés HT (CHF)</t>
        </is>
      </c>
      <c r="B6" s="9" t="n">
        <v>150000</v>
      </c>
    </row>
    <row r="7">
      <c r="A7" s="3" t="inlineStr">
        <is>
          <t>Rabais (%)</t>
        </is>
      </c>
      <c r="B7" s="8" t="n">
        <v>5</v>
      </c>
    </row>
    <row r="8">
      <c r="A8" s="3" t="inlineStr">
        <is>
          <t>Déductions prorata : entreprise générale, nettoyage, assurance (%)</t>
        </is>
      </c>
      <c r="B8" s="8" t="n">
        <v>1.5</v>
      </c>
    </row>
    <row r="9">
      <c r="A9" s="3" t="inlineStr">
        <is>
          <t>Escompte (%)</t>
        </is>
      </c>
      <c r="B9" s="8" t="n">
        <v>2</v>
      </c>
    </row>
    <row r="10">
      <c r="A10" s="3" t="inlineStr">
        <is>
          <t>Acomptes précédents nets HT (CHF)</t>
        </is>
      </c>
      <c r="B10" s="9" t="n">
        <v>80000</v>
      </c>
    </row>
    <row r="11">
      <c r="A11" s="3" t="inlineStr">
        <is>
          <t>Taux de retenue convenu hors SIA 118 (%)</t>
        </is>
      </c>
      <c r="B11" s="8" t="n">
        <v>0</v>
      </c>
    </row>
    <row r="12">
      <c r="A12" s="3" t="inlineStr">
        <is>
          <t>Décompte final (1 = oui : la retenue n'est pas déduite de la base de la TVA)</t>
        </is>
      </c>
      <c r="B12" s="7" t="n">
        <v>0</v>
      </c>
    </row>
    <row r="13">
      <c r="A13" s="3" t="inlineStr">
        <is>
          <t>Sous-traitant étranger non inscrit (1 = impôt sur les acquisitions)</t>
        </is>
      </c>
      <c r="B13" s="7" t="n">
        <v>0</v>
      </c>
    </row>
    <row r="14">
      <c r="A14" s="3" t="inlineStr">
        <is>
          <t>Taux de TVA (%)</t>
        </is>
      </c>
      <c r="B14" s="8" t="n">
        <v>8.1</v>
      </c>
    </row>
    <row r="16">
      <c r="A16" s="3" t="inlineStr">
        <is>
          <t>Montant net des prestations HT = brut × (1 − rabais) (CHF)</t>
        </is>
      </c>
      <c r="B16" s="11">
        <f>ROUND(B6*(1-B7/100),2)</f>
        <v/>
      </c>
    </row>
    <row r="17">
      <c r="A17" s="3" t="inlineStr">
        <is>
          <t>Retenue de garantie calculée (CHF) : 10 % ; au-delà de 500'000 CHF, 5 % mais au moins 50'000 ; au plus 2'000'000</t>
        </is>
      </c>
      <c r="B17" s="11">
        <f>IF(B4=1,IF(B16&gt;0,ROUND(MIN(IF(B16&lt;=500000,B16*10/100,MAX(B16*5/100,50000)),2000000),2),0),ROUND(B16*B11/100,2))</f>
        <v/>
      </c>
    </row>
    <row r="18">
      <c r="A18" s="3" t="inlineStr">
        <is>
          <t>Retenue déduite de la situation (CHF)</t>
        </is>
      </c>
      <c r="B18" s="11">
        <f>IF(B12=1,0,B17)</f>
        <v/>
      </c>
    </row>
    <row r="19">
      <c r="A19" s="3" t="inlineStr">
        <is>
          <t>Déductions prorata (CHF)</t>
        </is>
      </c>
      <c r="B19" s="11">
        <f>ROUND(B16*B8/100,2)</f>
        <v/>
      </c>
    </row>
    <row r="20">
      <c r="A20" s="3" t="inlineStr">
        <is>
          <t>Escompte (CHF)</t>
        </is>
      </c>
      <c r="B20" s="11">
        <f>ROUND(B16*B9/100,2)</f>
        <v/>
      </c>
    </row>
    <row r="21">
      <c r="A21" s="3" t="inlineStr">
        <is>
          <t>Net à payer HT de la situation (CHF)</t>
        </is>
      </c>
      <c r="B21" s="11">
        <f>ROUND(B16-B18-B19-B20-B10,2)</f>
        <v/>
      </c>
    </row>
    <row r="22">
      <c r="A22" s="3" t="inlineStr">
        <is>
          <t>TVA arrondie aux 5 centimes = round(valeur × 20) / 20 (CHF)</t>
        </is>
      </c>
      <c r="B22" s="11">
        <f>IF(B13=1,0,IF(B21&lt;0,-1,1)*ROUND(ABS(B21*B14/100)*20,0)/20)</f>
        <v/>
      </c>
    </row>
    <row r="23">
      <c r="A23" s="3" t="inlineStr">
        <is>
          <t>Impôt sur les acquisitions à déclarer (sous-traitant étranger) (CHF)</t>
        </is>
      </c>
      <c r="B23" s="11">
        <f>IF(B13=1,IF(B21&lt;0,-1,1)*ROUND(ABS(B21*B14/100)*20,0)/20,0)</f>
        <v/>
      </c>
    </row>
    <row r="24">
      <c r="A24" s="3" t="inlineStr">
        <is>
          <t>Total TTC à payer (CHF)</t>
        </is>
      </c>
      <c r="B24" s="11">
        <f>ROUND(B21+B22,2)</f>
        <v/>
      </c>
    </row>
    <row r="25">
      <c r="A25" s="3" t="inlineStr">
        <is>
          <t>Avancement : brut cumulé / contrat (%)</t>
        </is>
      </c>
      <c r="B25" s="15">
        <f>IF(B5&gt;0,ROUND(B6/B5*100,1),"")</f>
        <v/>
      </c>
    </row>
    <row r="27">
      <c r="A27" s="3" t="inlineStr">
        <is>
          <t>Le prorata et l'escompte sont calculés sur le montant net des prestations. Hors SIA 118, le Code des obligations ne prévoit pas de retenue : saisissez le taux convenu au contrat.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34"/>
  <sheetViews>
    <sheetView showGridLines="0" workbookViewId="0">
      <selection activeCell="A1" sqref="A1"/>
    </sheetView>
  </sheetViews>
  <sheetFormatPr baseColWidth="8" defaultRowHeight="15"/>
  <cols>
    <col width="84" customWidth="1" min="1" max="1"/>
    <col width="22" customWidth="1" min="2" max="2"/>
    <col width="70" customWidth="1" min="3" max="3"/>
  </cols>
  <sheetData>
    <row r="1">
      <c r="A1" s="5" t="inlineStr">
        <is>
          <t>4.4 · Bouclement au 31 décembre : travaux en cours (TEC), provisions forfaitaires et calendrier du patron</t>
        </is>
      </c>
    </row>
    <row r="2">
      <c r="A2" s="6" t="inlineStr">
        <is>
          <t>Cellules jaunes = à saisir. Taux de 2 %, 5 % et d'un tiers : usages cantonaux, à confirmer avec l'administration fiscale. Évaluation des TEC : art. 960a et 960c CO.</t>
        </is>
      </c>
    </row>
    <row r="4">
      <c r="A4" s="3" t="inlineStr">
        <is>
          <t>Chiffre d'affaires annuel HT (CHF)</t>
        </is>
      </c>
      <c r="B4" s="9" t="n">
        <v>1800000</v>
      </c>
    </row>
    <row r="5">
      <c r="A5" s="3" t="inlineStr">
        <is>
          <t>Créances clients ouvertes au 31.12 (CHF)</t>
        </is>
      </c>
      <c r="B5" s="9" t="n">
        <v>280000</v>
      </c>
    </row>
    <row r="6">
      <c r="A6" s="3" t="inlineStr">
        <is>
          <t>Travaux en cours (TEC) non facturés, au prix de vente (CHF)</t>
        </is>
      </c>
      <c r="B6" s="9" t="n">
        <v>160000</v>
      </c>
    </row>
    <row r="7">
      <c r="A7" s="3" t="inlineStr">
        <is>
          <t>Part marge + frais administratifs dans les TEC (%)</t>
        </is>
      </c>
      <c r="B7" s="8" t="n">
        <v>25</v>
      </c>
    </row>
    <row r="8">
      <c r="A8" s="3" t="inlineStr">
        <is>
          <t>Stock de matériaux (CHF)</t>
        </is>
      </c>
      <c r="B8" s="9" t="n">
        <v>45000</v>
      </c>
    </row>
    <row r="9">
      <c r="A9" s="3" t="inlineStr">
        <is>
          <t>Taux d'impôt sur le bénéfice (%)</t>
        </is>
      </c>
      <c r="B9" s="8" t="n">
        <v>18.5</v>
      </c>
    </row>
    <row r="10">
      <c r="A10" s="3" t="inlineStr">
        <is>
          <t>Année du calendrier</t>
        </is>
      </c>
      <c r="B10" s="7" t="n">
        <v>2026</v>
      </c>
    </row>
    <row r="12">
      <c r="A12" s="3" t="inlineStr">
        <is>
          <t>Décote sur les TEC : valorisation au coût de revient, sans marge ni frais administratifs (CHF)</t>
        </is>
      </c>
      <c r="B12" s="11">
        <f>ROUND(B6*B7/100,2)</f>
        <v/>
      </c>
    </row>
    <row r="13">
      <c r="A13" s="3" t="inlineStr">
        <is>
          <t>Réserve privilégiée sur le stock : un tiers (CHF)</t>
        </is>
      </c>
      <c r="B13" s="11">
        <f>ROUND(B8/3,2)</f>
        <v/>
      </c>
    </row>
    <row r="14">
      <c r="A14" s="3" t="inlineStr">
        <is>
          <t>Ducroire forfaitaire sur débiteurs suisses : 5 % (CHF)</t>
        </is>
      </c>
      <c r="B14" s="11">
        <f>ROUND(B5*5/100,2)</f>
        <v/>
      </c>
    </row>
    <row r="15">
      <c r="A15" s="3" t="inlineStr">
        <is>
          <t>Provision pour risques de garantie : 2 % du chiffre d'affaires (CHF)</t>
        </is>
      </c>
      <c r="B15" s="11">
        <f>ROUND(B4*2/100,2)</f>
        <v/>
      </c>
    </row>
    <row r="16">
      <c r="A16" s="3" t="inlineStr">
        <is>
          <t>Total de la réduction du bénéfice imposable (CHF)</t>
        </is>
      </c>
      <c r="B16" s="11">
        <f>ROUND(B12+B13+B14+B15,2)</f>
        <v/>
      </c>
    </row>
    <row r="17">
      <c r="A17" s="3" t="inlineStr">
        <is>
          <t>Impôt économisé ou reporté (CHF)</t>
        </is>
      </c>
      <c r="B17" s="11">
        <f>ROUND(B16*B9/100,2)</f>
        <v/>
      </c>
    </row>
    <row r="18">
      <c r="A18" s="3" t="inlineStr">
        <is>
          <t>TEC valorisés au coût de revient (CHF)</t>
        </is>
      </c>
      <c r="B18" s="11">
        <f>ROUND(B6-B12,2)</f>
        <v/>
      </c>
    </row>
    <row r="20">
      <c r="A20" s="14" t="inlineStr">
        <is>
          <t>Échéance</t>
        </is>
      </c>
      <c r="B20" s="14" t="inlineStr">
        <is>
          <t>Date de rappel</t>
        </is>
      </c>
      <c r="C20" s="14" t="inlineStr">
        <is>
          <t>Base</t>
        </is>
      </c>
    </row>
    <row r="21">
      <c r="A21" s="3" t="inlineStr">
        <is>
          <t>Clôture des décomptes d'heures, soldes de vacances et ponts de fin d'année (CN / CCT-SOR)</t>
        </is>
      </c>
      <c r="B21" s="16">
        <f>DATE($B$10,1,15)</f>
        <v/>
      </c>
      <c r="C21" s="3" t="inlineStr">
        <is>
          <t>Convention collective (CN, CCT-SOR) et contrat de travail : date à confirmer</t>
        </is>
      </c>
    </row>
    <row r="22">
      <c r="A22" s="3" t="inlineStr">
        <is>
          <t>Déclarations des salaires : AVS / AI / APG / AC / CAF, SUVA, LPP, FAR, RESOR</t>
        </is>
      </c>
      <c r="B22" s="16">
        <f>DATE($B$10,1,30)</f>
        <v/>
      </c>
      <c r="C22" s="3" t="inlineStr">
        <is>
          <t>AVS : 30 janvier ; autres organismes : à confirmer auprès de chacun</t>
        </is>
      </c>
    </row>
    <row r="23">
      <c r="A23" s="3" t="inlineStr">
        <is>
          <t>TVA : décompte du 4e trimestre et concordance annuelle</t>
        </is>
      </c>
      <c r="B23" s="16">
        <f>DATE($B$10,2,28)</f>
        <v/>
      </c>
      <c r="C23" s="3" t="inlineStr">
        <is>
          <t>Délai légal : 60 jours après la fin de la période de décompte (art. 71 LTVA) ; la date de rappel est prise par prudence</t>
        </is>
      </c>
    </row>
    <row r="24">
      <c r="A24" s="3" t="inlineStr">
        <is>
          <t>Certificats de salaire des collaborateurs</t>
        </is>
      </c>
      <c r="B24" s="16">
        <f>DATE($B$10,3,31)</f>
        <v/>
      </c>
      <c r="C24" s="3" t="inlineStr">
        <is>
          <t>Usage : pas de délai fédéral unique, voir les directives de votre canton</t>
        </is>
      </c>
    </row>
    <row r="25">
      <c r="A25" s="3" t="inlineStr">
        <is>
          <t>Taxe d'incitation, remboursement de l'impôt sur les huiles minérales (machines de chantier, OFDF) et bouclement LPP</t>
        </is>
      </c>
      <c r="B25" s="16">
        <f>DATE($B$10,4,30)</f>
        <v/>
      </c>
      <c r="C25" s="3" t="inlineStr">
        <is>
          <t>OFDF et caisse de pensions : délais à confirmer auprès de chaque organisme</t>
        </is>
      </c>
    </row>
    <row r="26">
      <c r="A26" s="3" t="inlineStr">
        <is>
          <t>TVA : décompte du 1er trimestre</t>
        </is>
      </c>
      <c r="B26" s="16">
        <f>DATE($B$10,5,30)</f>
        <v/>
      </c>
      <c r="C26" s="3" t="inlineStr">
        <is>
          <t>Délai légal : 60 jours après la fin du trimestre (art. 71 LTVA)</t>
        </is>
      </c>
    </row>
    <row r="27">
      <c r="A27" s="3" t="inlineStr">
        <is>
          <t>Assemblée générale : approbation des comptes</t>
        </is>
      </c>
      <c r="B27" s="16">
        <f>DATE($B$10,6,30)</f>
        <v/>
      </c>
      <c r="C27" s="3" t="inlineStr">
        <is>
          <t>Art. 699 al. 2 CO : dans les six mois qui suivent la clôture de l'exercice</t>
        </is>
      </c>
    </row>
    <row r="28">
      <c r="A28" s="3" t="inlineStr">
        <is>
          <t>TVA : décompte du 2e trimestre</t>
        </is>
      </c>
      <c r="B28" s="16">
        <f>DATE($B$10,8,30)</f>
        <v/>
      </c>
      <c r="C28" s="3" t="inlineStr">
        <is>
          <t>Délai légal : 60 jours après la fin du trimestre, soit le 29 août (art. 71 LTVA) ; la date de rappel du cahier est le 30</t>
        </is>
      </c>
    </row>
    <row r="29">
      <c r="A29" s="3" t="inlineStr">
        <is>
          <t>Déclaration d'impôt annuelle des personnes morales (Sàrl / SA)</t>
        </is>
      </c>
      <c r="B29" s="16">
        <f>DATE($B$10,9,30)</f>
        <v/>
      </c>
      <c r="C29" s="3" t="inlineStr">
        <is>
          <t>Délai fixé par chaque canton, prolongation possible : à confirmer</t>
        </is>
      </c>
    </row>
    <row r="30">
      <c r="A30" s="3" t="inlineStr">
        <is>
          <t>13e salaire (8,33 % du salaire brut annuel) et revue des assurances RC Entreprise / SUVA pour l'année suivante</t>
        </is>
      </c>
      <c r="B30" s="16">
        <f>DATE($B$10,11,15)</f>
        <v/>
      </c>
      <c r="C30" s="3" t="inlineStr">
        <is>
          <t>13e salaire : contrat de travail ou CCT ; revue des assurances : bonne pratique</t>
        </is>
      </c>
    </row>
    <row r="31">
      <c r="A31" s="3" t="inlineStr">
        <is>
          <t>TVA : décompte du 3e trimestre</t>
        </is>
      </c>
      <c r="B31" s="16">
        <f>DATE($B$10,11,30)</f>
        <v/>
      </c>
      <c r="C31" s="3" t="inlineStr">
        <is>
          <t>Délai légal : 60 jours après la fin du trimestre, soit le 29 novembre (art. 71 LTVA) ; la date de rappel du cahier est le 30</t>
        </is>
      </c>
    </row>
    <row r="32">
      <c r="A32" s="3" t="inlineStr">
        <is>
          <t>Métré contradictoire des travaux en cours (TEC) et inventaire</t>
        </is>
      </c>
      <c r="B32" s="16">
        <f>DATE($B$10,12,15)</f>
        <v/>
      </c>
      <c r="C32" s="3" t="inlineStr">
        <is>
          <t>Bonne pratique de bouclement (évaluation : art. 960a et 960c CO)</t>
        </is>
      </c>
    </row>
    <row r="34">
      <c r="A34" s="3" t="inlineStr">
        <is>
          <t>Les dates sont des repères de rappel : confirmez les délais auprès de chaque organisme. Le fichier .ics du calendrier se télécharge sur la page de l'outil.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84" customWidth="1" min="1" max="1"/>
    <col width="22" customWidth="1" min="2" max="2"/>
  </cols>
  <sheetData>
    <row r="1">
      <c r="A1" s="5" t="inlineStr">
        <is>
          <t>4.5 · Valorisation d'une PME du bâtiment : méthode des praticiens (circulaire CSI no 28)</t>
        </is>
      </c>
    </row>
    <row r="2">
      <c r="A2" s="6" t="inlineStr">
        <is>
          <t>Cellules jaunes = à saisir. VS = fonds propres + réserves latentes nettes ; bénéfice durable = max(0 ; bénéfice + retraitement) ; VR = bénéfice durable / taux ; valeur = (2 × VR + VS) / 3.</t>
        </is>
      </c>
    </row>
    <row r="4">
      <c r="A4" s="3" t="inlineStr">
        <is>
          <t>Fonds propres comptables (CHF)</t>
        </is>
      </c>
      <c r="B4" s="9" t="n">
        <v>350000</v>
      </c>
    </row>
    <row r="5">
      <c r="A5" s="3" t="inlineStr">
        <is>
          <t>Réserves latentes nettes d'impôt latent (CHF)</t>
        </is>
      </c>
      <c r="B5" s="9" t="n">
        <v>120000</v>
      </c>
    </row>
    <row r="6">
      <c r="A6" s="3" t="inlineStr">
        <is>
          <t>Bénéfice net moyen sur 3 ans (CHF)</t>
        </is>
      </c>
      <c r="B6" s="9" t="n">
        <v>140000</v>
      </c>
    </row>
    <row r="7">
      <c r="A7" s="3" t="inlineStr">
        <is>
          <t>Retraitement du salaire de marché du dirigeant (CHF, négatif si le patron est sous-payé)</t>
        </is>
      </c>
      <c r="B7" s="9" t="n">
        <v>-20000</v>
      </c>
    </row>
    <row r="8">
      <c r="A8" s="3" t="inlineStr">
        <is>
          <t>Taux de capitalisation (%) : Gros Œuvre 12,5 ; Second Œuvre 11,5 ; Techniques CVC/Élec 10,0</t>
        </is>
      </c>
      <c r="B8" s="8" t="n">
        <v>12.5</v>
      </c>
    </row>
    <row r="9">
      <c r="A9" s="3" t="inlineStr">
        <is>
          <t>Poids de la valeur de rendement</t>
        </is>
      </c>
      <c r="B9" s="7" t="n">
        <v>2</v>
      </c>
    </row>
    <row r="10">
      <c r="A10" s="3" t="inlineStr">
        <is>
          <t>Poids de la valeur substantielle</t>
        </is>
      </c>
      <c r="B10" s="7" t="n">
        <v>1</v>
      </c>
    </row>
    <row r="11">
      <c r="A11" s="3" t="inlineStr">
        <is>
          <t>Fourchette basse : dépendance à l'homme-clé (%)</t>
        </is>
      </c>
      <c r="B11" s="8" t="n">
        <v>-15</v>
      </c>
    </row>
    <row r="12">
      <c r="A12" s="3" t="inlineStr">
        <is>
          <t>Fourchette haute : carnet de commandes récurrent (%)</t>
        </is>
      </c>
      <c r="B12" s="8" t="n">
        <v>10</v>
      </c>
    </row>
    <row r="14">
      <c r="A14" s="3" t="inlineStr">
        <is>
          <t>Valeur substantielle VS (CHF)</t>
        </is>
      </c>
      <c r="B14" s="11">
        <f>ROUND(B4+B5,2)</f>
        <v/>
      </c>
    </row>
    <row r="15">
      <c r="A15" s="3" t="inlineStr">
        <is>
          <t>Bénéfice durable = max(0 ; bénéfice + retraitement) (CHF)</t>
        </is>
      </c>
      <c r="B15" s="11">
        <f>MAX(0,ROUND(B6+B7,2))</f>
        <v/>
      </c>
    </row>
    <row r="16">
      <c r="A16" s="3" t="inlineStr">
        <is>
          <t>Valeur de rendement VR = bénéfice durable / taux (CHF)</t>
        </is>
      </c>
      <c r="B16" s="11">
        <f>IF(B8&gt;0,ROUND(B15/(MAX(B8,0.0001)/100),2),"")</f>
        <v/>
      </c>
    </row>
    <row r="17">
      <c r="A17" s="3" t="inlineStr">
        <is>
          <t>Valeur selon la méthode des praticiens = (2 × VR + VS) / 3 (CHF)</t>
        </is>
      </c>
      <c r="B17" s="11">
        <f>IF(B8&gt;0,ROUND((B9*N(B16)+B10*B14)/(B9+B10),2),"")</f>
        <v/>
      </c>
    </row>
    <row r="18">
      <c r="A18" s="3" t="inlineStr">
        <is>
          <t>Fourchette de négociation : basse (CHF)</t>
        </is>
      </c>
      <c r="B18" s="11">
        <f>IF(B8&gt;0,ROUND(N(B17)*(1+B11/100),2),"")</f>
        <v/>
      </c>
    </row>
    <row r="19">
      <c r="A19" s="3" t="inlineStr">
        <is>
          <t>Fourchette de négociation : haute (CHF)</t>
        </is>
      </c>
      <c r="B19" s="11">
        <f>IF(B8&gt;0,ROUND(N(B17)*(1+B12/100),2),"")</f>
        <v/>
      </c>
    </row>
    <row r="20">
      <c r="A20" s="3" t="inlineStr">
        <is>
          <t>Multiple du bénéfice durable</t>
        </is>
      </c>
      <c r="B20" s="17">
        <f>IF(AND(B8&gt;0,B15&gt;0),ROUND(N(B17)/MAX(B15,0.01),2),"")</f>
        <v/>
      </c>
    </row>
    <row r="22">
      <c r="A22" s="3" t="inlineStr">
        <is>
          <t>Estimation indicative : elle ne remplace pas une expertise fiduciaire. Les taux de départ sont ceux du cahier des charges, pas ceux de la circulaire CSI no 28.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2026-11-06T13:33:55Z</dcterms:created>
  <dcterms:modified xsi:type="dcterms:W3CDTF">2026-11-06T13:33:56Z</dcterms:modified>
</cp:coreProperties>
</file>