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À lire" sheetId="1" state="visible" r:id="rId1"/>
    <sheet name="Surfaces SIA 416 (5.1)" sheetId="2" state="visible" r:id="rId2"/>
    <sheet name="Honoraires SIA 102-103 (5.2)" sheetId="3" state="visible" r:id="rId3"/>
    <sheet name="Budget CFC 0-9 (5.3)" sheetId="4" state="visible" r:id="rId4"/>
    <sheet name="Majorité PPE (5.4)" sheetId="5" state="visible" r:id="rId5"/>
    <sheet name="Loyer OBLF (5.4)" sheetId="6" state="visible" r:id="rId6"/>
    <sheet name="Valeur U et SIA 180 (5.5)" sheetId="7" state="visible" r:id="rId7"/>
    <sheet name="Acoustique SIA 181 (5.6)" sheetId="8" state="visible" r:id="rId8"/>
    <sheet name="Zone sismique SIA 261 (5.7)" sheetId="9" state="visible" r:id="rId9"/>
    <sheet name="Cotes SIA 500 (5.8)" sheetId="10" state="visible" r:id="rId10"/>
    <sheet name="Neige et incendie (5.9)" sheetId="11" state="visible" r:id="rId11"/>
    <sheet name="Droits à bâtir (5.10)" sheetId="12" state="visible" r:id="rId12"/>
    <sheet name="Permis ou dispense (5.11)" sheetId="13" state="visible" r:id="rId13"/>
    <sheet name="Radon, eaux, dangers (5.12)" sheetId="14" state="visible" r:id="rId14"/>
    <sheet name="Subventions (5.13)" sheetId="15" state="visible" r:id="rId15"/>
    <sheet name="Domaine public (5.14)" sheetId="16" state="visible" r:id="rId16"/>
    <sheet name="Indices de prix (5.15)" sheetId="17" state="visible" r:id="rId17"/>
    <sheet name="Sécurité OTConst (5.16)" sheetId="18" state="visible" r:id="rId18"/>
  </sheets>
  <definedNames/>
  <calcPr calcId="124519" fullCalcOnLoad="1"/>
</workbook>
</file>

<file path=xl/styles.xml><?xml version="1.0" encoding="utf-8"?>
<styleSheet xmlns="http://schemas.openxmlformats.org/spreadsheetml/2006/main">
  <numFmts count="3">
    <numFmt numFmtId="164" formatCode="0.0"/>
    <numFmt numFmtId="165" formatCode="0.000"/>
    <numFmt numFmtId="166" formatCode="0.0000"/>
  </numFmts>
  <fonts count="7">
    <font>
      <name val="Calibri"/>
      <family val="2"/>
      <color theme="1"/>
      <sz val="11"/>
      <scheme val="minor"/>
    </font>
    <font>
      <name val="Calibri"/>
      <b val="1"/>
      <color rgb="001E293B"/>
      <sz val="16"/>
    </font>
    <font>
      <name val="Calibri"/>
      <i val="1"/>
      <color rgb="0064748B"/>
      <sz val="10"/>
    </font>
    <font>
      <name val="Calibri"/>
      <color rgb="001E293B"/>
      <sz val="10"/>
    </font>
    <font>
      <name val="Calibri"/>
      <b val="1"/>
      <color rgb="001E293B"/>
      <sz val="10"/>
    </font>
    <font>
      <name val="Calibri"/>
      <b val="1"/>
      <color rgb="001D4ED8"/>
      <sz val="10"/>
    </font>
    <font>
      <name val="Calibri"/>
      <b val="1"/>
      <color rgb="00FFFFFF"/>
      <sz val="10"/>
    </font>
  </fonts>
  <fills count="5">
    <fill>
      <patternFill/>
    </fill>
    <fill>
      <patternFill patternType="gray125"/>
    </fill>
    <fill>
      <patternFill patternType="solid">
        <fgColor rgb="00FFFBEB"/>
      </patternFill>
    </fill>
    <fill>
      <patternFill patternType="solid">
        <fgColor rgb="00DBEAFE"/>
      </patternFill>
    </fill>
    <fill>
      <patternFill patternType="solid">
        <fgColor rgb="002563EB"/>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20">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1" fillId="0" borderId="0" pivotButton="0" quotePrefix="0" xfId="0"/>
    <xf numFmtId="0" fontId="2" fillId="0" borderId="0" pivotButton="0" quotePrefix="0" xfId="0"/>
    <xf numFmtId="1" fontId="5" fillId="2" borderId="1" pivotButton="0" quotePrefix="0" xfId="0"/>
    <xf numFmtId="164" fontId="5" fillId="2" borderId="1" pivotButton="0" quotePrefix="0" xfId="0"/>
    <xf numFmtId="2" fontId="5" fillId="2" borderId="1" pivotButton="0" quotePrefix="0" xfId="0"/>
    <xf numFmtId="4" fontId="5" fillId="2" borderId="1" pivotButton="0" quotePrefix="0" xfId="0"/>
    <xf numFmtId="4" fontId="4" fillId="3" borderId="1" pivotButton="0" quotePrefix="0" xfId="0"/>
    <xf numFmtId="165" fontId="4" fillId="3" borderId="1" pivotButton="0" quotePrefix="0" xfId="0"/>
    <xf numFmtId="0" fontId="6" fillId="4" borderId="0" applyAlignment="1" pivotButton="0" quotePrefix="0" xfId="0">
      <alignment horizontal="center" vertical="center" wrapText="1"/>
    </xf>
    <xf numFmtId="164" fontId="4" fillId="3" borderId="1" pivotButton="0" quotePrefix="0" xfId="0"/>
    <xf numFmtId="2" fontId="4" fillId="3" borderId="1" pivotButton="0" quotePrefix="0" xfId="0"/>
    <xf numFmtId="1" fontId="4" fillId="3" borderId="1" pivotButton="0" quotePrefix="0" xfId="0"/>
    <xf numFmtId="166" fontId="4" fillId="3" borderId="1" pivotButton="0" quotePrefix="0" xfId="0"/>
    <xf numFmtId="165" fontId="5" fillId="2" borderId="1" pivotButton="0" quotePrefix="0" xfId="0"/>
    <xf numFmtId="0" fontId="4"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styles" Target="styles.xml" Id="rId19" /><Relationship Type="http://schemas.openxmlformats.org/officeDocument/2006/relationships/theme" Target="theme/theme1.xml" Id="rId2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3"/>
  <sheetViews>
    <sheetView showGridLines="0" workbookViewId="0">
      <selection activeCell="A1" sqref="A1"/>
    </sheetView>
  </sheetViews>
  <sheetFormatPr baseColWidth="8" defaultRowHeight="15"/>
  <cols>
    <col width="150" customWidth="1" min="1" max="1"/>
  </cols>
  <sheetData>
    <row r="1">
      <c r="A1" s="1" t="inlineStr">
        <is>
          <t>ACIP 2026 : ingénierie, physique du bâtiment, PPE et urbanisme (Pilier 5)</t>
        </is>
      </c>
    </row>
    <row r="2">
      <c r="A2" s="2" t="inlineStr">
        <is>
          <t>Art Construction Index de Prix · art-construction.ch/outils/ · classeur de référence des outils 5.1 à 5.16</t>
        </is>
      </c>
    </row>
    <row r="3">
      <c r="A3" s="3" t="inlineStr"/>
    </row>
    <row r="4">
      <c r="A4" s="4" t="inlineStr">
        <is>
          <t>Contenu</t>
        </is>
      </c>
    </row>
    <row r="5">
      <c r="A5" s="3" t="inlineStr">
        <is>
          <t>• Surfaces SIA 416 (5.1) : SP, SC, SN, SU, SRE (SIA 380/1), IBUS (AIHC), volume et comparaison avec l'ancien cube SIA 116.</t>
        </is>
      </c>
    </row>
    <row r="6">
      <c r="A6" s="3" t="inlineStr">
        <is>
          <t>• Honoraires SIA 102-103 (5.2) : répartition par phase 31 à 53, heures estimées, TVA.</t>
        </is>
      </c>
    </row>
    <row r="7">
      <c r="A7" s="3" t="inlineStr">
        <is>
          <t>• Budget CFC 0-9 (5.3) : terrain, travaux, frais secondaires CFC 5 (taxes, assurances, intérêts intercalaires) et réserve.</t>
        </is>
      </c>
    </row>
    <row r="8">
      <c r="A8" s="3" t="inlineStr">
        <is>
          <t>• Majorité PPE et loyer OBLF (5.4) : décision d'assemblée selon les art. 647c à 647e CC ; hausse de loyer après rénovation selon l'art. 14 OBLF.</t>
        </is>
      </c>
    </row>
    <row r="9">
      <c r="A9" s="3" t="inlineStr">
        <is>
          <t>• Valeur U et SIA 180 (5.5) : valeur U d'une paroi, épaisseurs minimales d'isolant, point de rosée (Magnus) et facteur fRsi.</t>
        </is>
      </c>
    </row>
    <row r="10">
      <c r="A10" s="3" t="inlineStr">
        <is>
          <t>• Acoustique (5.6) : niveau d'évaluation d'une pompe à chaleur (OPB annexe 6, Cercle Bruit), distance minimale, isolement Di, bruit de choc et équipements (SIA 181).</t>
        </is>
      </c>
    </row>
    <row r="11">
      <c r="A11" s="3" t="inlineStr">
        <is>
          <t>• Zone sismique (5.7) : accélération agd,eff = agd × γf × S (SIA 261), ratio de travaux et verdict selon le facteur αeff (SIA 269/8).</t>
        </is>
      </c>
    </row>
    <row r="12">
      <c r="A12" s="3" t="inlineStr">
        <is>
          <t>• Cotes SIA 500 (5.8) : contrôle des portes, couloirs, rotation, rampe, WC et ascenseur par catégorie, et longueur de rampe avec paliers.</t>
        </is>
      </c>
    </row>
    <row r="13">
      <c r="A13" s="3" t="inlineStr">
        <is>
          <t>• Neige et incendie (5.9) : charge de neige sk et qk (SIA 261) et exigences coupe-feu AEAI par catégorie de hauteur.</t>
        </is>
      </c>
    </row>
    <row r="14">
      <c r="A14" s="3" t="inlineStr">
        <is>
          <t>• Droits à bâtir (5.10) : SPd, surface utile et emprise à partir de l'IBUS ou du CUS (concordat AIHC), équivalences et distances cantonales.</t>
        </is>
      </c>
    </row>
    <row r="15">
      <c r="A15" s="3" t="inlineStr">
        <is>
          <t>• Permis ou dispense (5.11) : procédure par travaux et par situation du bâtiment, seuils de minime importance, portails cantonaux.</t>
        </is>
      </c>
    </row>
    <row r="16">
      <c r="A16" s="3" t="inlineStr">
        <is>
          <t>• Radon, eaux, dangers (5.12) : niveau de référence radon, mesures constructives, zones de protection des eaux S1 à S3 et Au, zones de dangers naturels.</t>
        </is>
      </c>
    </row>
    <row r="17">
      <c r="A17" s="3" t="inlineStr">
        <is>
          <t>• Subventions (5.13) : Programme Bâtiments (isolation, chauffage, CECB Plus), reste à charge et économie d'impôt ; barème vaudois 2026 vérifié, autres cantons indicatifs.</t>
        </is>
      </c>
    </row>
    <row r="18">
      <c r="A18" s="3" t="inlineStr">
        <is>
          <t>• Domaine public (5.14) : taxe d'emprise, places de parc neutralisées, émolument ; tarifs à remplacer par le règlement communal.</t>
        </is>
      </c>
    </row>
    <row r="19">
      <c r="A19" s="3" t="inlineStr">
        <is>
          <t>• Indices de prix (5.15) : comparaison des prix entre 26 cantons et 51 localités (base ACIP) ; tableau des pourcentages.</t>
        </is>
      </c>
    </row>
    <row r="20">
      <c r="A20" s="3" t="inlineStr">
        <is>
          <t>• Sécurité OTConst (5.16) : mesures par risque avec les articles de l'ordonnance, huit règles vitales de la Suva, numéros d'urgence.</t>
        </is>
      </c>
    </row>
    <row r="21">
      <c r="A21" s="3" t="inlineStr"/>
    </row>
    <row r="22">
      <c r="A22" s="4" t="inlineStr">
        <is>
          <t>Avertissement</t>
        </is>
      </c>
    </row>
    <row r="23">
      <c r="A23" s="3" t="inlineStr">
        <is>
          <t>Les pourcentages de phases SIA 102, les valeurs du CFC 5, les majorités de PPE (règle du cahier pour les travaux nécessaires), le taux de référence de l'OFL, la majoration de l'OBLF, les valeurs du MoPEC et le seuil fRsi de la SIA 180 sont des valeurs du cahier des charges ou de la jurisprudence récente, à vérifier dans les textes en vigueur. Il en va de même, pour les outils 5.11 à 5.16, des seuils de minime importance des cantons (hors Fribourg), des délais d'instruction, du radier de 20 cm, des barèmes de subventions (hors Vaud 2026 et Fribourg M-01), des tarifs d'occupation du domaine public (hors fourchette de la Ville de Genève), des pourcentages ACIP (le seuil de 1,50 m pour les fouilles, lui, figure à l'art. 68 al. 2 OTConst). Il en va de même des seuils de la SIA 181, des valeurs de planification de l'OPB et de la correction de nuit, des zones par commune et des coefficients de la SIA 261, des facteurs αeff de la SIA 269/8, des cotes de la SIA 500, des seuils AEAI, de la formule de charge de neige, du facteur de conversion CUS en IBUS et des règles de distance par canton. Information indicative qui ne remplace pas l'avis d'un mandataire, d'un juriste, d'un ingénieur ou d'un physicien du bâtiment.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showGridLines="0" workbookViewId="0">
      <selection activeCell="A1" sqref="A1"/>
    </sheetView>
  </sheetViews>
  <sheetFormatPr baseColWidth="8" defaultRowHeight="15"/>
  <cols>
    <col width="86" customWidth="1" min="1" max="1"/>
    <col width="20" customWidth="1" min="2" max="2"/>
  </cols>
  <sheetData>
    <row r="1">
      <c r="A1" s="5" t="inlineStr">
        <is>
          <t>5.1 · Surfaces SIA 416 (SP, SC, SN, SU), SRE (SIA 380/1), IBUS (AIHC) et volume</t>
        </is>
      </c>
    </row>
    <row r="2">
      <c r="A2" s="6" t="inlineStr">
        <is>
          <t>Cellules jaunes = à saisir. SC = surface de construction (notée « SI » dans le cahier des charges). Volume SIA 416 = SP × hauteur d'étage ; ancien cube SIA 116 estimé de +8 % à +12 %.</t>
        </is>
      </c>
    </row>
    <row r="4">
      <c r="A4" s="3" t="inlineStr">
        <is>
          <t>Surface du terrain (m²)</t>
        </is>
      </c>
      <c r="B4" s="7" t="n">
        <v>800</v>
      </c>
    </row>
    <row r="5">
      <c r="A5" s="3" t="inlineStr">
        <is>
          <t>Emprise au sol extérieure du bâtiment (m²)</t>
        </is>
      </c>
      <c r="B5" s="8" t="n">
        <v>160</v>
      </c>
    </row>
    <row r="6">
      <c r="A6" s="3" t="inlineStr">
        <is>
          <t>Niveaux hors-sol chauffés</t>
        </is>
      </c>
      <c r="B6" s="7" t="n">
        <v>2</v>
      </c>
    </row>
    <row r="7">
      <c r="A7" s="3" t="inlineStr">
        <is>
          <t>Niveaux de sous-sol non chauffés</t>
        </is>
      </c>
      <c r="B7" s="7" t="n">
        <v>1</v>
      </c>
    </row>
    <row r="8">
      <c r="A8" s="3" t="inlineStr">
        <is>
          <t>Hauteur moyenne d'étage de dalle à dalle (m)</t>
        </is>
      </c>
      <c r="B8" s="9" t="n">
        <v>2.85</v>
      </c>
    </row>
    <row r="9">
      <c r="A9" s="3" t="inlineStr">
        <is>
          <t>Parois et éléments porteurs : surface de construction sur SP (%)</t>
        </is>
      </c>
      <c r="B9" s="8" t="n">
        <v>15</v>
      </c>
    </row>
    <row r="10">
      <c r="A10" s="3" t="inlineStr">
        <is>
          <t>Dégagements, locaux techniques et annexes sur SN (%)</t>
        </is>
      </c>
      <c r="B10" s="8" t="n">
        <v>20</v>
      </c>
    </row>
    <row r="11">
      <c r="A11" s="3" t="inlineStr">
        <is>
          <t>Prix indicatif au m³ SIA 416 (CHF / m³)</t>
        </is>
      </c>
      <c r="B11" s="10" t="n">
        <v>880</v>
      </c>
    </row>
    <row r="13">
      <c r="A13" s="3" t="inlineStr">
        <is>
          <t>Surface de plancher SP = emprise × (niveaux hors-sol + sous-sol) (m²)</t>
        </is>
      </c>
      <c r="B13" s="11">
        <f>ROUND(B5*(MAX(0,B6)+MAX(0,B7)),2)</f>
        <v/>
      </c>
    </row>
    <row r="14">
      <c r="A14" s="3" t="inlineStr">
        <is>
          <t>Surface de construction SC = SP × ratio (m²)</t>
        </is>
      </c>
      <c r="B14" s="11">
        <f>ROUND(B13*B9/100,2)</f>
        <v/>
      </c>
    </row>
    <row r="15">
      <c r="A15" s="3" t="inlineStr">
        <is>
          <t>Surface nette SN = SP − SC (m²)</t>
        </is>
      </c>
      <c r="B15" s="11">
        <f>ROUND(B13-B14,2)</f>
        <v/>
      </c>
    </row>
    <row r="16">
      <c r="A16" s="3" t="inlineStr">
        <is>
          <t>Surface utile SU = SN × (1 − ratio dégagements) (m²)</t>
        </is>
      </c>
      <c r="B16" s="11">
        <f>ROUND(B15*(1-B10/100),2)</f>
        <v/>
      </c>
    </row>
    <row r="17">
      <c r="A17" s="3" t="inlineStr">
        <is>
          <t>Dégagements, installations et annexes = SN − SU (m²)</t>
        </is>
      </c>
      <c r="B17" s="11">
        <f>ROUND(B15-B16,2)</f>
        <v/>
      </c>
    </row>
    <row r="18">
      <c r="A18" s="3" t="inlineStr">
        <is>
          <t>SRE (SIA 380/1) = emprise × niveaux hors-sol chauffés (m²)</t>
        </is>
      </c>
      <c r="B18" s="11">
        <f>ROUND(B5*MAX(0,B6),2)</f>
        <v/>
      </c>
    </row>
    <row r="19">
      <c r="A19" s="3" t="inlineStr">
        <is>
          <t>IBUS = SP hors-sol / terrain</t>
        </is>
      </c>
      <c r="B19" s="12">
        <f>IF(B4&gt;0,ROUND(B5*MAX(0,B6)/MAX(B4,0.000001),3),"")</f>
        <v/>
      </c>
    </row>
    <row r="20">
      <c r="A20" s="3" t="inlineStr">
        <is>
          <t>Volume SIA 416 = SP × hauteur d'étage (m³)</t>
        </is>
      </c>
      <c r="B20" s="11">
        <f>ROUND(B13*B8,2)</f>
        <v/>
      </c>
    </row>
    <row r="21">
      <c r="A21" s="3" t="inlineStr">
        <is>
          <t>Ancien cube SIA 116, majoration de 8 % (m³)</t>
        </is>
      </c>
      <c r="B21" s="11">
        <f>ROUND(B20*(1+8/100),2)</f>
        <v/>
      </c>
    </row>
    <row r="22">
      <c r="A22" s="3" t="inlineStr">
        <is>
          <t>Ancien cube SIA 116, majoration de 10 % (m³)</t>
        </is>
      </c>
      <c r="B22" s="11">
        <f>ROUND(B20*(1+10/100),2)</f>
        <v/>
      </c>
    </row>
    <row r="23">
      <c r="A23" s="3" t="inlineStr">
        <is>
          <t>Ancien cube SIA 116, majoration de 12 % (m³)</t>
        </is>
      </c>
      <c r="B23" s="11">
        <f>ROUND(B20*(1+12/100),2)</f>
        <v/>
      </c>
    </row>
    <row r="24">
      <c r="A24" s="3" t="inlineStr">
        <is>
          <t>Estimation du coût des travaux CFC 2 (CHF)</t>
        </is>
      </c>
      <c r="B24" s="11">
        <f>ROUND(B20*B11,2)</f>
        <v/>
      </c>
    </row>
    <row r="25">
      <c r="A25" s="3" t="inlineStr">
        <is>
          <t>Prix au m³ en cube SIA 116 (+12 %) (CHF / m³)</t>
        </is>
      </c>
      <c r="B25" s="11">
        <f>ROUND(B11/(1+12/100),2)</f>
        <v/>
      </c>
    </row>
    <row r="26">
      <c r="A26" s="3" t="inlineStr">
        <is>
          <t>Prix au m³ en cube SIA 116 (+8 %) (CHF / m³)</t>
        </is>
      </c>
      <c r="B26" s="11">
        <f>ROUND(B11/(1+8/100),2)</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26"/>
  <sheetViews>
    <sheetView showGridLines="0" workbookViewId="0">
      <selection activeCell="A1" sqref="A1"/>
    </sheetView>
  </sheetViews>
  <sheetFormatPr baseColWidth="8" defaultRowHeight="15"/>
  <cols>
    <col width="86" customWidth="1" min="1" max="1"/>
    <col width="14" customWidth="1" min="2" max="2"/>
    <col width="14" customWidth="1" min="3" max="3"/>
    <col width="18" customWidth="1" min="4" max="4"/>
    <col width="14" customWidth="1" min="5" max="5"/>
    <col width="18" customWidth="1" min="6" max="6"/>
    <col width="14" customWidth="1" min="7" max="7"/>
  </cols>
  <sheetData>
    <row r="1">
      <c r="A1" s="5" t="inlineStr">
        <is>
          <t>5.2 · Honoraires d'architecte (SIA 102) et d'ingénieur (SIA 103) par phase</t>
        </is>
      </c>
    </row>
    <row r="2">
      <c r="A2" s="6" t="inlineStr">
        <is>
          <t>Cellules jaunes = à saisir. Répartition par phase : cahier des charges (9 / 21 / 2,5 / 18 / 16 / 29 / 4,5 %). Phase confiée : 1 = oui, 0 = non.</t>
        </is>
      </c>
    </row>
    <row r="4">
      <c r="A4" s="3" t="inlineStr">
        <is>
          <t>Coût d'ouvrage déterminant HT (CHF)</t>
        </is>
      </c>
      <c r="B4" s="10" t="n">
        <v>1200000</v>
      </c>
    </row>
    <row r="5">
      <c r="A5" s="3" t="inlineStr">
        <is>
          <t>Taux global d'honoraires (% du coût des travaux)</t>
        </is>
      </c>
      <c r="B5" s="8" t="n">
        <v>13.5</v>
      </c>
    </row>
    <row r="6">
      <c r="A6" s="3" t="inlineStr">
        <is>
          <t>Taux horaire moyen du bureau (CHF / h)</t>
        </is>
      </c>
      <c r="B6" s="7" t="n">
        <v>155</v>
      </c>
    </row>
    <row r="7">
      <c r="A7" s="3" t="inlineStr">
        <is>
          <t>TVA (%)</t>
        </is>
      </c>
      <c r="B7" s="8" t="n">
        <v>8.1</v>
      </c>
    </row>
    <row r="9">
      <c r="A9" s="3" t="inlineStr">
        <is>
          <t>Mission globale (100 %) = coût × taux (CHF)</t>
        </is>
      </c>
      <c r="B9" s="11">
        <f>ROUND(B4*B5/100,2)</f>
        <v/>
      </c>
    </row>
    <row r="11">
      <c r="A11" s="13" t="inlineStr">
        <is>
          <t>Phase SIA</t>
        </is>
      </c>
      <c r="B11" s="13" t="inlineStr">
        <is>
          <t>Part (%)</t>
        </is>
      </c>
      <c r="C11" s="13" t="inlineStr">
        <is>
          <t>Confiée (1/0)</t>
        </is>
      </c>
      <c r="D11" s="13" t="inlineStr">
        <is>
          <t>Montant HT (CHF)</t>
        </is>
      </c>
      <c r="E11" s="13" t="inlineStr">
        <is>
          <t>Heures</t>
        </is>
      </c>
      <c r="F11" s="13" t="inlineStr">
        <is>
          <t>Montant confié (CHF)</t>
        </is>
      </c>
      <c r="G11" s="13" t="inlineStr">
        <is>
          <t>Heures confiées</t>
        </is>
      </c>
    </row>
    <row r="12">
      <c r="A12" s="3" t="inlineStr">
        <is>
          <t>Phase 31 : Avant-projet</t>
        </is>
      </c>
      <c r="B12" s="8" t="n">
        <v>9</v>
      </c>
      <c r="C12" s="7" t="n">
        <v>1</v>
      </c>
      <c r="D12" s="11">
        <f>ROUND($B$9*B12/100,2)</f>
        <v/>
      </c>
      <c r="E12" s="14">
        <f>IF($B$6&gt;0,ROUND(D12/MAX($B$6,0.0001),1),0)</f>
        <v/>
      </c>
      <c r="F12" s="11">
        <f>D12*C12</f>
        <v/>
      </c>
      <c r="G12" s="14">
        <f>E12*C12</f>
        <v/>
      </c>
    </row>
    <row r="13">
      <c r="A13" s="3" t="inlineStr">
        <is>
          <t>Phase 32 : Projet de l'ouvrage</t>
        </is>
      </c>
      <c r="B13" s="8" t="n">
        <v>21</v>
      </c>
      <c r="C13" s="7" t="n">
        <v>1</v>
      </c>
      <c r="D13" s="11">
        <f>ROUND($B$9*B13/100,2)</f>
        <v/>
      </c>
      <c r="E13" s="14">
        <f>IF($B$6&gt;0,ROUND(D13/MAX($B$6,0.0001),1),0)</f>
        <v/>
      </c>
      <c r="F13" s="11">
        <f>D13*C13</f>
        <v/>
      </c>
      <c r="G13" s="14">
        <f>E13*C13</f>
        <v/>
      </c>
    </row>
    <row r="14">
      <c r="A14" s="3" t="inlineStr">
        <is>
          <t>Phase 33 : Procédure de demande d'autorisation (Permis)</t>
        </is>
      </c>
      <c r="B14" s="8" t="n">
        <v>2.5</v>
      </c>
      <c r="C14" s="7" t="n">
        <v>1</v>
      </c>
      <c r="D14" s="11">
        <f>ROUND($B$9*B14/100,2)</f>
        <v/>
      </c>
      <c r="E14" s="14">
        <f>IF($B$6&gt;0,ROUND(D14/MAX($B$6,0.0001),1),0)</f>
        <v/>
      </c>
      <c r="F14" s="11">
        <f>D14*C14</f>
        <v/>
      </c>
      <c r="G14" s="14">
        <f>E14*C14</f>
        <v/>
      </c>
    </row>
    <row r="15">
      <c r="A15" s="3" t="inlineStr">
        <is>
          <t>Phase 41 : Appels d'offres, comparaison des offres, propositions d'adjudication</t>
        </is>
      </c>
      <c r="B15" s="8" t="n">
        <v>18</v>
      </c>
      <c r="C15" s="7" t="n">
        <v>1</v>
      </c>
      <c r="D15" s="11">
        <f>ROUND($B$9*B15/100,2)</f>
        <v/>
      </c>
      <c r="E15" s="14">
        <f>IF($B$6&gt;0,ROUND(D15/MAX($B$6,0.0001),1),0)</f>
        <v/>
      </c>
      <c r="F15" s="11">
        <f>D15*C15</f>
        <v/>
      </c>
      <c r="G15" s="14">
        <f>E15*C15</f>
        <v/>
      </c>
    </row>
    <row r="16">
      <c r="A16" s="3" t="inlineStr">
        <is>
          <t>Phase 51 : Projet d'exécution (Plans d'exécution)</t>
        </is>
      </c>
      <c r="B16" s="8" t="n">
        <v>16</v>
      </c>
      <c r="C16" s="7" t="n">
        <v>1</v>
      </c>
      <c r="D16" s="11">
        <f>ROUND($B$9*B16/100,2)</f>
        <v/>
      </c>
      <c r="E16" s="14">
        <f>IF($B$6&gt;0,ROUND(D16/MAX($B$6,0.0001),1),0)</f>
        <v/>
      </c>
      <c r="F16" s="11">
        <f>D16*C16</f>
        <v/>
      </c>
      <c r="G16" s="14">
        <f>E16*C16</f>
        <v/>
      </c>
    </row>
    <row r="17">
      <c r="A17" s="3" t="inlineStr">
        <is>
          <t>Phase 52 : Exécution de l'ouvrage (Direction des travaux DT &amp; contrôle des coûts)</t>
        </is>
      </c>
      <c r="B17" s="8" t="n">
        <v>29</v>
      </c>
      <c r="C17" s="7" t="n">
        <v>1</v>
      </c>
      <c r="D17" s="11">
        <f>ROUND($B$9*B17/100,2)</f>
        <v/>
      </c>
      <c r="E17" s="14">
        <f>IF($B$6&gt;0,ROUND(D17/MAX($B$6,0.0001),1),0)</f>
        <v/>
      </c>
      <c r="F17" s="11">
        <f>D17*C17</f>
        <v/>
      </c>
      <c r="G17" s="14">
        <f>E17*C17</f>
        <v/>
      </c>
    </row>
    <row r="18">
      <c r="A18" s="3" t="inlineStr">
        <is>
          <t>Phase 53 : Mise en service, achèvement, décompte final et direction des travaux de garantie</t>
        </is>
      </c>
      <c r="B18" s="8" t="n">
        <v>4.5</v>
      </c>
      <c r="C18" s="7" t="n">
        <v>1</v>
      </c>
      <c r="D18" s="11">
        <f>ROUND($B$9*B18/100,2)</f>
        <v/>
      </c>
      <c r="E18" s="14">
        <f>IF($B$6&gt;0,ROUND(D18/MAX($B$6,0.0001),1),0)</f>
        <v/>
      </c>
      <c r="F18" s="11">
        <f>D18*C18</f>
        <v/>
      </c>
      <c r="G18" s="14">
        <f>E18*C18</f>
        <v/>
      </c>
    </row>
    <row r="20">
      <c r="A20" s="3" t="inlineStr">
        <is>
          <t>Total des phases confiées</t>
        </is>
      </c>
      <c r="B20" s="14">
        <f>ROUND(B12*C12+B13*C13+B14*C14+B15*C15+B16*C16+B17*C17+B18*C18,2)</f>
        <v/>
      </c>
      <c r="F20" s="11">
        <f>ROUND(F12+F13+F14+F15+F16+F17+F18,2)</f>
        <v/>
      </c>
      <c r="G20" s="14">
        <f>ROUND(G12+G13+G14+G15+G16+G17+G18,1)</f>
        <v/>
      </c>
    </row>
    <row r="21">
      <c r="A21" s="3" t="inlineStr">
        <is>
          <t>TVA sur les phases confiées (CHF)</t>
        </is>
      </c>
      <c r="F21" s="11">
        <f>ROUND(F20*B7/100,2)</f>
        <v/>
      </c>
    </row>
    <row r="22">
      <c r="A22" s="3" t="inlineStr">
        <is>
          <t>Total TTC (CHF)</t>
        </is>
      </c>
      <c r="F22" s="11">
        <f>ROUND(F20+F21,2)</f>
        <v/>
      </c>
    </row>
    <row r="24">
      <c r="A24" s="3" t="inlineStr">
        <is>
          <t>Sous-total confié : Étude du projet (phases 31 à 33)</t>
        </is>
      </c>
      <c r="B24" s="14">
        <f>ROUND(B12*C12+B13*C13+B14*C14,2)</f>
        <v/>
      </c>
      <c r="F24" s="11">
        <f>ROUND(F12+F13+F14,2)</f>
        <v/>
      </c>
      <c r="G24" s="14">
        <f>ROUND(G12+G13+G14,1)</f>
        <v/>
      </c>
    </row>
    <row r="25">
      <c r="A25" s="3" t="inlineStr">
        <is>
          <t>Sous-total confié : Appel d'offres (phase 41)</t>
        </is>
      </c>
      <c r="B25" s="14">
        <f>ROUND(B15*C15,2)</f>
        <v/>
      </c>
      <c r="F25" s="11">
        <f>ROUND(F15,2)</f>
        <v/>
      </c>
      <c r="G25" s="14">
        <f>ROUND(G15,1)</f>
        <v/>
      </c>
    </row>
    <row r="26">
      <c r="A26" s="3" t="inlineStr">
        <is>
          <t>Sous-total confié : Réalisation (phases 51 à 53)</t>
        </is>
      </c>
      <c r="B26" s="14">
        <f>ROUND(B16*C16+B17*C17+B18*C18,2)</f>
        <v/>
      </c>
      <c r="F26" s="11">
        <f>ROUND(F16+F17+F18,2)</f>
        <v/>
      </c>
      <c r="G26" s="14">
        <f>ROUND(G16+G17+G18,1)</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42"/>
  <sheetViews>
    <sheetView showGridLines="0" workbookViewId="0">
      <selection activeCell="A1" sqref="A1"/>
    </sheetView>
  </sheetViews>
  <sheetFormatPr baseColWidth="8" defaultRowHeight="15"/>
  <cols>
    <col width="90" customWidth="1" min="1" max="1"/>
    <col width="20" customWidth="1" min="2" max="2"/>
  </cols>
  <sheetData>
    <row r="1">
      <c r="A1" s="5" t="inlineStr">
        <is>
          <t>5.3 · Budget global de construction (CFC 0 à CFC 9) et frais secondaires du CFC 5</t>
        </is>
      </c>
    </row>
    <row r="2">
      <c r="A2" s="6" t="inlineStr">
        <is>
          <t>Cellules jaunes = à saisir. Pourcentages et taxe d'abri PC : valeurs du cahier des charges, à remplacer par celles de la commune. Réserve pour imprévus : CFC 58 selon le CRB.</t>
        </is>
      </c>
    </row>
    <row r="4">
      <c r="A4" s="3" t="inlineStr">
        <is>
          <t>Prix du terrain CFC 0, hors frais (CHF)</t>
        </is>
      </c>
      <c r="B4" s="10" t="n">
        <v>500000</v>
      </c>
    </row>
    <row r="5">
      <c r="A5" s="3" t="inlineStr">
        <is>
          <t>Coût des travaux du bâtiment CFC 2 HT (CHF)</t>
        </is>
      </c>
      <c r="B5" s="10" t="n">
        <v>950000</v>
      </c>
    </row>
    <row r="6">
      <c r="A6" s="3" t="inlineStr">
        <is>
          <t>Travaux préparatoires CFC 1 (CHF)</t>
        </is>
      </c>
      <c r="B6" s="10" t="n">
        <v>35000</v>
      </c>
    </row>
    <row r="7">
      <c r="A7" s="3" t="inlineStr">
        <is>
          <t>Aménagements extérieurs CFC 4 (CHF)</t>
        </is>
      </c>
      <c r="B7" s="10" t="n">
        <v>65000</v>
      </c>
    </row>
    <row r="8">
      <c r="A8" s="3" t="inlineStr">
        <is>
          <t>Pièces habitables pour la taxe d'abri PC</t>
        </is>
      </c>
      <c r="B8" s="8" t="n">
        <v>5.5</v>
      </c>
    </row>
    <row r="9">
      <c r="A9" s="3" t="inlineStr">
        <is>
          <t>Taux du crédit de construction (%)</t>
        </is>
      </c>
      <c r="B9" s="9" t="n">
        <v>2.75</v>
      </c>
    </row>
    <row r="10">
      <c r="A10" s="3" t="inlineStr">
        <is>
          <t>Durée du chantier (mois)</t>
        </is>
      </c>
      <c r="B10" s="7" t="n">
        <v>14</v>
      </c>
    </row>
    <row r="11">
      <c r="A11" s="3" t="inlineStr">
        <is>
          <t>Tirage moyen du crédit (%)</t>
        </is>
      </c>
      <c r="B11" s="7" t="n">
        <v>50</v>
      </c>
    </row>
    <row r="12">
      <c r="A12" s="3" t="inlineStr">
        <is>
          <t>Frais d'acquisition du terrain (% du terrain)</t>
        </is>
      </c>
      <c r="B12" s="9" t="n">
        <v>4.5</v>
      </c>
    </row>
    <row r="13">
      <c r="A13" s="3" t="inlineStr">
        <is>
          <t>Émolument du permis (% du CFC 2)</t>
        </is>
      </c>
      <c r="B13" s="9" t="n">
        <v>0.8</v>
      </c>
    </row>
    <row r="14">
      <c r="A14" s="3" t="inlineStr">
        <is>
          <t>Taxes de raccordement (% du CFC 2)</t>
        </is>
      </c>
      <c r="B14" s="9" t="n">
        <v>3.5</v>
      </c>
    </row>
    <row r="15">
      <c r="A15" s="3" t="inlineStr">
        <is>
          <t>Taxe de remplacement de l'abri PC (CHF par pièce)</t>
        </is>
      </c>
      <c r="B15" s="7" t="n">
        <v>1150</v>
      </c>
    </row>
    <row r="16">
      <c r="A16" s="3" t="inlineStr">
        <is>
          <t>Échantillons, maquettes, copies CFC 52 (% du CFC 2)</t>
        </is>
      </c>
      <c r="B16" s="9" t="n">
        <v>0.3</v>
      </c>
    </row>
    <row r="17">
      <c r="A17" s="3" t="inlineStr">
        <is>
          <t>Assurances du maître d'ouvrage CFC 53 (% du CFC 2)</t>
        </is>
      </c>
      <c r="B17" s="9" t="n">
        <v>0.45</v>
      </c>
    </row>
    <row r="18">
      <c r="A18" s="3" t="inlineStr">
        <is>
          <t>Commissions bancaires (% du capital)</t>
        </is>
      </c>
      <c r="B18" s="9" t="n">
        <v>0.5</v>
      </c>
    </row>
    <row r="19">
      <c r="A19" s="3" t="inlineStr">
        <is>
          <t>Réserve pour imprévus (% du CFC 2)</t>
        </is>
      </c>
      <c r="B19" s="8" t="n">
        <v>5</v>
      </c>
    </row>
    <row r="20">
      <c r="A20" s="3" t="inlineStr">
        <is>
          <t>TVA sur les travaux (%)</t>
        </is>
      </c>
      <c r="B20" s="8" t="n">
        <v>8.1</v>
      </c>
    </row>
    <row r="22">
      <c r="A22" s="3" t="inlineStr">
        <is>
          <t>CFC 0 : frais d'acquisition du terrain (CHF)</t>
        </is>
      </c>
      <c r="B22" s="11">
        <f>ROUND(B4*B12/100,2)</f>
        <v/>
      </c>
    </row>
    <row r="23">
      <c r="A23" s="3" t="inlineStr">
        <is>
          <t>CFC 0 : terrain et frais (CHF)</t>
        </is>
      </c>
      <c r="B23" s="11">
        <f>ROUND(B4+B22,2)</f>
        <v/>
      </c>
    </row>
    <row r="24">
      <c r="A24" s="3" t="inlineStr">
        <is>
          <t>Capital des travaux CFC 1 + 2 + 4 (CHF)</t>
        </is>
      </c>
      <c r="B24" s="11">
        <f>ROUND(B6+B5+B7,2)</f>
        <v/>
      </c>
    </row>
    <row r="25">
      <c r="A25" s="3" t="inlineStr">
        <is>
          <t>CFC 51 : émolument du permis (CHF)</t>
        </is>
      </c>
      <c r="B25" s="11">
        <f>ROUND(B5*B13/100,2)</f>
        <v/>
      </c>
    </row>
    <row r="26">
      <c r="A26" s="3" t="inlineStr">
        <is>
          <t>CFC 51 : taxes de raccordement (CHF)</t>
        </is>
      </c>
      <c r="B26" s="11">
        <f>ROUND(B5*B14/100,2)</f>
        <v/>
      </c>
    </row>
    <row r="27">
      <c r="A27" s="3" t="inlineStr">
        <is>
          <t>CFC 51 : taxe d'abri PC (CHF)</t>
        </is>
      </c>
      <c r="B27" s="11">
        <f>ROUND(B8*B15,2)</f>
        <v/>
      </c>
    </row>
    <row r="28">
      <c r="A28" s="3" t="inlineStr">
        <is>
          <t>CFC 51 : autorisations et taxes (CHF)</t>
        </is>
      </c>
      <c r="B28" s="11">
        <f>ROUND(B25+B26+B27,2)</f>
        <v/>
      </c>
    </row>
    <row r="29">
      <c r="A29" s="3" t="inlineStr">
        <is>
          <t>CFC 52 : échantillons, maquettes, copies (CHF)</t>
        </is>
      </c>
      <c r="B29" s="11">
        <f>ROUND(B5*B16/100,2)</f>
        <v/>
      </c>
    </row>
    <row r="30">
      <c r="A30" s="3" t="inlineStr">
        <is>
          <t>CFC 53 : assurances du maître d'ouvrage ATC et RC MO (CHF)</t>
        </is>
      </c>
      <c r="B30" s="11">
        <f>ROUND(B5*B17/100,2)</f>
        <v/>
      </c>
    </row>
    <row r="31">
      <c r="A31" s="3" t="inlineStr">
        <is>
          <t>CFC 54 : intérêts intercalaires = capital × tirage × taux × durée / 12 (CHF)</t>
        </is>
      </c>
      <c r="B31" s="11">
        <f>ROUND(B24*(B11/100)*(B9/100)*(B10/12),2)</f>
        <v/>
      </c>
    </row>
    <row r="32">
      <c r="A32" s="3" t="inlineStr">
        <is>
          <t>CFC 54 : commissions bancaires (CHF)</t>
        </is>
      </c>
      <c r="B32" s="11">
        <f>ROUND(B24*B18/100,2)</f>
        <v/>
      </c>
    </row>
    <row r="33">
      <c r="A33" s="3" t="inlineStr">
        <is>
          <t>CFC 54 : financement (CHF)</t>
        </is>
      </c>
      <c r="B33" s="11">
        <f>ROUND(B31+B32,2)</f>
        <v/>
      </c>
    </row>
    <row r="34">
      <c r="A34" s="3" t="inlineStr">
        <is>
          <t>CFC 5 : frais secondaires (CHF)</t>
        </is>
      </c>
      <c r="B34" s="11">
        <f>ROUND(B28+B29+B30+B33,2)</f>
        <v/>
      </c>
    </row>
    <row r="35">
      <c r="A35" s="3" t="inlineStr">
        <is>
          <t>Réserve pour imprévus (CHF)</t>
        </is>
      </c>
      <c r="B35" s="11">
        <f>ROUND(B5*B19/100,2)</f>
        <v/>
      </c>
    </row>
    <row r="36">
      <c r="A36" s="3" t="inlineStr">
        <is>
          <t>Frais annexes : CFC 5 et réserve (CHF)</t>
        </is>
      </c>
      <c r="B36" s="11">
        <f>ROUND(B34+B35,2)</f>
        <v/>
      </c>
    </row>
    <row r="37">
      <c r="A37" s="3" t="inlineStr">
        <is>
          <t>Budget hors terrain (CHF)</t>
        </is>
      </c>
      <c r="B37" s="11">
        <f>ROUND(B6+B5+B7+B34+B35,2)</f>
        <v/>
      </c>
    </row>
    <row r="38">
      <c r="A38" s="3" t="inlineStr">
        <is>
          <t>Total HT de l'opération (CHF)</t>
        </is>
      </c>
      <c r="B38" s="11">
        <f>ROUND(B23+B37,2)</f>
        <v/>
      </c>
    </row>
    <row r="39">
      <c r="A39" s="3" t="inlineStr">
        <is>
          <t>TVA sur les travaux CFC 1, 2 et 4 (CHF)</t>
        </is>
      </c>
      <c r="B39" s="11">
        <f>ROUND(B24*B20/100,2)</f>
        <v/>
      </c>
    </row>
    <row r="40">
      <c r="A40" s="3" t="inlineStr">
        <is>
          <t>Coût total de l'opération TTC (CHF)</t>
        </is>
      </c>
      <c r="B40" s="11">
        <f>ROUND(B38+B39,2)</f>
        <v/>
      </c>
    </row>
    <row r="41">
      <c r="A41" s="3" t="inlineStr">
        <is>
          <t>Part du CFC 2 dans le budget hors terrain (%)</t>
        </is>
      </c>
      <c r="B41" s="14">
        <f>IF(B37&gt;0,ROUND(B5/MAX(B37,0.01)*100,1),"")</f>
        <v/>
      </c>
    </row>
    <row r="42">
      <c r="A42" s="3" t="inlineStr">
        <is>
          <t>Frais annexes par rapport au CFC 2 (%)</t>
        </is>
      </c>
      <c r="B42" s="15">
        <f>IF(B5&gt;0,ROUND(B36/MAX(B5,0.01)*100,2),"")</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14"/>
  <sheetViews>
    <sheetView showGridLines="0" workbookViewId="0">
      <selection activeCell="A1" sqref="A1"/>
    </sheetView>
  </sheetViews>
  <sheetFormatPr baseColWidth="8" defaultRowHeight="15"/>
  <cols>
    <col width="86" customWidth="1" min="1" max="1"/>
    <col width="20" customWidth="1" min="2" max="2"/>
  </cols>
  <sheetData>
    <row r="1">
      <c r="A1" s="5" t="inlineStr">
        <is>
          <t>5.4 · Majorité en assemblée de PPE (Code civil, art. 647c, 647d et 647e)</t>
        </is>
      </c>
    </row>
    <row r="2">
      <c r="A2" s="6" t="inlineStr">
        <is>
          <t>Cellules jaunes = à saisir. Nature : 1 = nécessaires (majorité de tous les copropriétaires, art. 647c ; des présents si le règlement de la PPE le prévoit), 2 = utiles (majorité de tous et plus de 500 millièmes), 3 = somptuaires (unanimité).</t>
        </is>
      </c>
    </row>
    <row r="4">
      <c r="A4" s="3" t="inlineStr">
        <is>
          <t>Nature des travaux (1, 2 ou 3)</t>
        </is>
      </c>
      <c r="B4" s="7" t="n">
        <v>2</v>
      </c>
    </row>
    <row r="5">
      <c r="A5" s="3" t="inlineStr">
        <is>
          <t>Nombre total de copropriétaires</t>
        </is>
      </c>
      <c r="B5" s="7" t="n">
        <v>12</v>
      </c>
    </row>
    <row r="6">
      <c r="A6" s="3" t="inlineStr">
        <is>
          <t>Présents ou représentés</t>
        </is>
      </c>
      <c r="B6" s="7" t="n">
        <v>9</v>
      </c>
    </row>
    <row r="7">
      <c r="A7" s="3" t="inlineStr">
        <is>
          <t>Votes OUI en têtes</t>
        </is>
      </c>
      <c r="B7" s="7" t="n">
        <v>7</v>
      </c>
    </row>
    <row r="8">
      <c r="A8" s="3" t="inlineStr">
        <is>
          <t>Votes OUI en millièmes (sur 1000)</t>
        </is>
      </c>
      <c r="B8" s="7" t="n">
        <v>540</v>
      </c>
    </row>
    <row r="9">
      <c r="A9" s="3" t="inlineStr">
        <is>
          <t>Le règlement de la PPE prévoit la majorité des présents pour les travaux nécessaires (1 = oui)</t>
        </is>
      </c>
      <c r="B9" s="7" t="n">
        <v>0</v>
      </c>
    </row>
    <row r="10">
      <c r="A10" s="3" t="inlineStr">
        <is>
          <t>Total retenu</t>
        </is>
      </c>
      <c r="B10" s="16">
        <f>MAX(1,ROUND(B5,0))</f>
        <v/>
      </c>
    </row>
    <row r="11">
      <c r="A11" s="3" t="inlineStr">
        <is>
          <t>Présents retenus</t>
        </is>
      </c>
      <c r="B11" s="16">
        <f>MIN(B10,MAX(0,ROUND(B6,0)))</f>
        <v/>
      </c>
    </row>
    <row r="12">
      <c r="A12" s="3" t="inlineStr">
        <is>
          <t>OUI en têtes retenus</t>
        </is>
      </c>
      <c r="B12" s="16">
        <f>MIN(B11,MAX(0,ROUND(B7,0)))</f>
        <v/>
      </c>
    </row>
    <row r="13">
      <c r="A13" s="3" t="inlineStr">
        <is>
          <t>OUI en millièmes retenus</t>
        </is>
      </c>
      <c r="B13" s="16">
        <f>MIN(1000,MAX(0,B8))</f>
        <v/>
      </c>
    </row>
    <row r="14">
      <c r="A14" s="3" t="inlineStr">
        <is>
          <t>Décision (1 = adoptée, 0 = rejetée)</t>
        </is>
      </c>
      <c r="B14" s="16">
        <f>IF(B4=1,IF(B9=1,IF(B12*2&gt;B11,1,0),IF(B12*2&gt;B10,1,0)),IF(B4=2,IF(AND(B12*2&gt;B10,B13&gt;500),1,0),IF(AND(B12=B10,B13&gt;=1000),1,0)))</f>
        <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23"/>
  <sheetViews>
    <sheetView showGridLines="0" workbookViewId="0">
      <selection activeCell="A1" sqref="A1"/>
    </sheetView>
  </sheetViews>
  <sheetFormatPr baseColWidth="8" defaultRowHeight="15"/>
  <cols>
    <col width="90" customWidth="1" min="1" max="1"/>
    <col width="20" customWidth="1" min="2" max="2"/>
  </cols>
  <sheetData>
    <row r="1">
      <c r="A1" s="5" t="inlineStr">
        <is>
          <t>5.4 · Hausse de loyer après rénovation (art. 14 OBLF)</t>
        </is>
      </c>
    </row>
    <row r="2">
      <c r="A2" s="6" t="inlineStr">
        <is>
          <t>Cellules jaunes = à saisir. Intérêt du capital = (taux de référence + majoration) / 2 ; majoration : 2 points selon la jurisprudence récente (ATF 151 III 16), 0,5 selon l'ancienne ; taux de référence à confirmer sur le site de l'OFL.</t>
        </is>
      </c>
    </row>
    <row r="4">
      <c r="A4" s="3" t="inlineStr">
        <is>
          <t>Coût total des travaux TTC (CHF)</t>
        </is>
      </c>
      <c r="B4" s="10" t="n">
        <v>320000</v>
      </c>
    </row>
    <row r="5">
      <c r="A5" s="3" t="inlineStr">
        <is>
          <t>Subventions à déduire (CHF)</t>
        </is>
      </c>
      <c r="B5" s="10" t="n">
        <v>45000</v>
      </c>
    </row>
    <row r="6">
      <c r="A6" s="3" t="inlineStr">
        <is>
          <t>Part à plus-value (%)</t>
        </is>
      </c>
      <c r="B6" s="7" t="n">
        <v>60</v>
      </c>
    </row>
    <row r="7">
      <c r="A7" s="3" t="inlineStr">
        <is>
          <t>Durée d'amortissement (années)</t>
        </is>
      </c>
      <c r="B7" s="7" t="n">
        <v>25</v>
      </c>
    </row>
    <row r="8">
      <c r="A8" s="3" t="inlineStr">
        <is>
          <t>Taux hypothécaire de référence (%)</t>
        </is>
      </c>
      <c r="B8" s="9" t="n">
        <v>1.25</v>
      </c>
    </row>
    <row r="9">
      <c r="A9" s="3" t="inlineStr">
        <is>
          <t>Majoration du taux de référence (point)</t>
        </is>
      </c>
      <c r="B9" s="9" t="n">
        <v>2</v>
      </c>
    </row>
    <row r="10">
      <c r="A10" s="3" t="inlineStr">
        <is>
          <t>Nombre de logements concernés</t>
        </is>
      </c>
      <c r="B10" s="7" t="n">
        <v>8</v>
      </c>
    </row>
    <row r="11">
      <c r="A11" s="3" t="inlineStr">
        <is>
          <t>Entretien et administration supplémentaire (% par an)</t>
        </is>
      </c>
      <c r="B11" s="8" t="n">
        <v>1</v>
      </c>
    </row>
    <row r="12">
      <c r="A12" s="3" t="inlineStr">
        <is>
          <t>Ancienne majoration de comparaison (point)</t>
        </is>
      </c>
      <c r="B12" s="9" t="n">
        <v>0.5</v>
      </c>
    </row>
    <row r="14">
      <c r="A14" s="3" t="inlineStr">
        <is>
          <t>Investissement net = travaux − subventions (CHF)</t>
        </is>
      </c>
      <c r="B14" s="11">
        <f>MAX(0,ROUND(B4-B5,2))</f>
        <v/>
      </c>
    </row>
    <row r="15">
      <c r="A15" s="3" t="inlineStr">
        <is>
          <t>Part à plus-value répercutable (CHF)</t>
        </is>
      </c>
      <c r="B15" s="11">
        <f>ROUND(B14*B6/100,2)</f>
        <v/>
      </c>
    </row>
    <row r="16">
      <c r="A16" s="3" t="inlineStr">
        <is>
          <t>Taux d'amortissement annuel = 100 / durée (%)</t>
        </is>
      </c>
      <c r="B16" s="17">
        <f>100/MAX(1,B7)</f>
        <v/>
      </c>
    </row>
    <row r="17">
      <c r="A17" s="3" t="inlineStr">
        <is>
          <t>Taux d'intérêt moyen = (taux de référence + majoration) / 2 (%)</t>
        </is>
      </c>
      <c r="B17" s="17">
        <f>(B8+B9)/2</f>
        <v/>
      </c>
    </row>
    <row r="18">
      <c r="A18" s="3" t="inlineStr">
        <is>
          <t>Taux annuel total de répercussion (%)</t>
        </is>
      </c>
      <c r="B18" s="17">
        <f>B16+B17+B11</f>
        <v/>
      </c>
    </row>
    <row r="19">
      <c r="A19" s="3" t="inlineStr">
        <is>
          <t>Hausse annuelle totale des loyers (CHF / an)</t>
        </is>
      </c>
      <c r="B19" s="11">
        <f>ROUND(B15*B18/100,2)</f>
        <v/>
      </c>
    </row>
    <row r="20">
      <c r="A20" s="3" t="inlineStr">
        <is>
          <t>Hausse mensuelle moyenne par logement (CHF / mois)</t>
        </is>
      </c>
      <c r="B20" s="11">
        <f>IF(B10&gt;0,ROUND(B19/12/MAX(B10,1),2),"")</f>
        <v/>
      </c>
    </row>
    <row r="21">
      <c r="A21" s="3" t="inlineStr">
        <is>
          <t>Taux total avec l'ancienne majoration (%)</t>
        </is>
      </c>
      <c r="B21" s="17">
        <f>B16+(B8+B12)/2+B11</f>
        <v/>
      </c>
    </row>
    <row r="22">
      <c r="A22" s="3" t="inlineStr">
        <is>
          <t>Hausse annuelle avec l'ancienne majoration (CHF / an)</t>
        </is>
      </c>
      <c r="B22" s="11">
        <f>ROUND(B15*B21/100,2)</f>
        <v/>
      </c>
    </row>
    <row r="23">
      <c r="A23" s="3" t="inlineStr">
        <is>
          <t>Hausse mensuelle par logement avec l'ancienne majoration (CHF / mois)</t>
        </is>
      </c>
      <c r="B23" s="11">
        <f>IF(B10&gt;0,ROUND(B22/12/MAX(B10,1),2),"")</f>
        <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29"/>
  <sheetViews>
    <sheetView showGridLines="0" workbookViewId="0">
      <selection activeCell="A1" sqref="A1"/>
    </sheetView>
  </sheetViews>
  <sheetFormatPr baseColWidth="8" defaultRowHeight="15"/>
  <cols>
    <col width="90" customWidth="1" min="1" max="1"/>
    <col width="20" customWidth="1" min="2" max="2"/>
  </cols>
  <sheetData>
    <row r="1">
      <c r="A1" s="5" t="inlineStr">
        <is>
          <t>5.5 · Valeur U d'une paroi, épaisseur minimale d'isolant, point de rosée et fRsi (SIA 380/1, SIA 180)</t>
        </is>
      </c>
    </row>
    <row r="2">
      <c r="A2" s="6" t="inlineStr">
        <is>
          <t>Cellules jaunes = à saisir. R total = 0,17 + R du support + épaisseur / λ ; Tsi = Ti − U × 0,25 × (Ti − Te) ; Magnus a = 17,62 ; b = 243,12 °C. Valeurs SIA 180 du cahier des charges (fRsi 0,75).</t>
        </is>
      </c>
    </row>
    <row r="4">
      <c r="A4" s="3" t="inlineStr">
        <is>
          <t>Résistance thermique du support R (m²K/W)</t>
        </is>
      </c>
      <c r="B4" s="9" t="n">
        <v>0.09</v>
      </c>
    </row>
    <row r="5">
      <c r="A5" s="3" t="inlineStr">
        <is>
          <t>Conductivité thermique de l'isolant λ (W/mK)</t>
        </is>
      </c>
      <c r="B5" s="18" t="n">
        <v>0.031</v>
      </c>
    </row>
    <row r="6">
      <c r="A6" s="3" t="inlineStr">
        <is>
          <t>Épaisseur d'isolant (mm)</t>
        </is>
      </c>
      <c r="B6" s="7" t="n">
        <v>180</v>
      </c>
    </row>
    <row r="7">
      <c r="A7" s="3" t="inlineStr">
        <is>
          <t>Seuil neuf (W/m²K)</t>
        </is>
      </c>
      <c r="B7" s="9" t="n">
        <v>0.17</v>
      </c>
    </row>
    <row r="8">
      <c r="A8" s="3" t="inlineStr">
        <is>
          <t>Seuil de rénovation et de subvention (W/m²K)</t>
        </is>
      </c>
      <c r="B8" s="9" t="n">
        <v>0.2</v>
      </c>
    </row>
    <row r="9">
      <c r="A9" s="3" t="inlineStr">
        <is>
          <t>Température intérieure (°C)</t>
        </is>
      </c>
      <c r="B9" s="7" t="n">
        <v>20</v>
      </c>
    </row>
    <row r="10">
      <c r="A10" s="3" t="inlineStr">
        <is>
          <t>Humidité relative intérieure (%)</t>
        </is>
      </c>
      <c r="B10" s="7" t="n">
        <v>50</v>
      </c>
    </row>
    <row r="11">
      <c r="A11" s="3" t="inlineStr">
        <is>
          <t>Température extérieure d'hiver (°C)</t>
        </is>
      </c>
      <c r="B11" s="7" t="n">
        <v>-8</v>
      </c>
    </row>
    <row r="13">
      <c r="A13" s="3" t="inlineStr">
        <is>
          <t>Résistance de l'isolant = épaisseur / 1000 / λ (m²K/W)</t>
        </is>
      </c>
      <c r="B13" s="17">
        <f>ROUND(B6/1000/B5,4)</f>
        <v/>
      </c>
    </row>
    <row r="14">
      <c r="A14" s="3" t="inlineStr">
        <is>
          <t>Résistance totale R = 0,17 + R support + R isolant (m²K/W)</t>
        </is>
      </c>
      <c r="B14" s="17">
        <f>ROUND(0.17+B4+B6/1000/B5,4)</f>
        <v/>
      </c>
    </row>
    <row r="15">
      <c r="A15" s="3" t="inlineStr">
        <is>
          <t>R total non arrondi (calcul interne)</t>
        </is>
      </c>
      <c r="B15" s="17">
        <f>0.17+B4+B6/1000/B5</f>
        <v/>
      </c>
    </row>
    <row r="16">
      <c r="A16" s="3" t="inlineStr">
        <is>
          <t>Valeur U = 1 / R total (W/m²K)</t>
        </is>
      </c>
      <c r="B16" s="12">
        <f>ROUND(1/B15,3)</f>
        <v/>
      </c>
    </row>
    <row r="17">
      <c r="A17" s="3" t="inlineStr">
        <is>
          <t>Respecte le seuil neuf (1 = oui)</t>
        </is>
      </c>
      <c r="B17" s="16">
        <f>IF(B16&lt;=B7,1,0)</f>
        <v/>
      </c>
    </row>
    <row r="18">
      <c r="A18" s="3" t="inlineStr">
        <is>
          <t>Respecte le seuil de rénovation et de subvention (1 = oui)</t>
        </is>
      </c>
      <c r="B18" s="16">
        <f>IF(B16&lt;=B8,1,0)</f>
        <v/>
      </c>
    </row>
    <row r="19">
      <c r="A19" s="3" t="inlineStr">
        <is>
          <t>Température intérieure retenue (10 à 30 °C)</t>
        </is>
      </c>
      <c r="B19" s="16">
        <f>MIN(30,MAX(10,B9))</f>
        <v/>
      </c>
    </row>
    <row r="20">
      <c r="A20" s="3" t="inlineStr">
        <is>
          <t>Température extérieure retenue</t>
        </is>
      </c>
      <c r="B20" s="16">
        <f>MIN(B19-1,MAX(-30,B11))</f>
        <v/>
      </c>
    </row>
    <row r="21">
      <c r="A21" s="3" t="inlineStr">
        <is>
          <t>Humidité retenue (10 à 100 %)</t>
        </is>
      </c>
      <c r="B21" s="16">
        <f>MIN(100,MAX(10,B10))</f>
        <v/>
      </c>
    </row>
    <row r="22">
      <c r="A22" s="3" t="inlineStr">
        <is>
          <t>Température superficielle intérieure Tsi (°C)</t>
        </is>
      </c>
      <c r="B22" s="12">
        <f>ROUND(B19-(1/B15)*0.25*(B19-B20),3)</f>
        <v/>
      </c>
    </row>
    <row r="23">
      <c r="A23" s="3" t="inlineStr">
        <is>
          <t>Facteur de température fRsi</t>
        </is>
      </c>
      <c r="B23" s="12">
        <f>ROUND((B22-B20)/(B19-B20),3)</f>
        <v/>
      </c>
    </row>
    <row r="24">
      <c r="A24" s="3" t="inlineStr">
        <is>
          <t>Terme de Magnus γ = ln(HR) + a × T / (b + T)</t>
        </is>
      </c>
      <c r="B24" s="17">
        <f>LN(B21/100)+17.62*B19/(243.12+B19)</f>
        <v/>
      </c>
    </row>
    <row r="25">
      <c r="A25" s="3" t="inlineStr">
        <is>
          <t>Point de rosée (°C)</t>
        </is>
      </c>
      <c r="B25" s="15">
        <f>ROUND(243.12*B24/(17.62-B24),2)</f>
        <v/>
      </c>
    </row>
    <row r="26">
      <c r="A26" s="3" t="inlineStr">
        <is>
          <t>Condensation superficielle (1 = oui)</t>
        </is>
      </c>
      <c r="B26" s="16">
        <f>IF(B22&lt;B25,1,0)</f>
        <v/>
      </c>
    </row>
    <row r="27">
      <c r="A27" s="3" t="inlineStr">
        <is>
          <t>Diagnostic SIA 180 (ok : fRsi ≥ 0,75 ; limite : 0,70 à 0,75 ; non : sous 0,70 ou condensation)</t>
        </is>
      </c>
      <c r="B27" s="19">
        <f>IF(OR(B26=1,B23&lt;0.7),"non",IF(B23&lt;0.75,"limite","ok"))</f>
        <v/>
      </c>
    </row>
    <row r="28">
      <c r="A28" s="3" t="inlineStr">
        <is>
          <t>Épaisseur minimale pour U = 0,20 (mm)</t>
        </is>
      </c>
      <c r="B28" s="16">
        <f>ROUNDUP(ROUND(MAX(0,B5*(1/0.2-0.17-B4))*1000,4),0)</f>
        <v/>
      </c>
    </row>
    <row r="29">
      <c r="A29" s="3" t="inlineStr">
        <is>
          <t>Épaisseur minimale pour U = 0,17 (mm)</t>
        </is>
      </c>
      <c r="B29" s="16">
        <f>ROUNDUP(ROUND(MAX(0,B5*(1/0.17-0.17-B4))*1000,4),0)</f>
        <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0"/>
  <sheetViews>
    <sheetView showGridLines="0" workbookViewId="0">
      <selection activeCell="A1" sqref="A1"/>
    </sheetView>
  </sheetViews>
  <sheetFormatPr baseColWidth="8" defaultRowHeight="15"/>
  <cols>
    <col width="96" customWidth="1" min="1" max="1"/>
    <col width="20" customWidth="1" min="2" max="2"/>
  </cols>
  <sheetData>
    <row r="1">
      <c r="A1" s="5" t="inlineStr">
        <is>
          <t>5.6 · Bruit d'une pompe à chaleur (OPB annexe 6, Cercle Bruit) et isolement acoustique entre logements (SIA 181)</t>
        </is>
      </c>
    </row>
    <row r="2">
      <c r="A2" s="6" t="inlineStr">
        <is>
          <t>Cellules jaunes = à saisir. Lr = LwA + Dc − (20·log10(d) + 11) + Ke + K obstacle. Dc : +3 (champ libre), +6 (façade), +9 (angle). Valeur de planification de nuit : 45 dB(A) en DS II, 50 en DS III. Seuils SIA 181 : valeurs du cahier des charges.</t>
        </is>
      </c>
    </row>
    <row r="4">
      <c r="A4" s="3" t="inlineStr">
        <is>
          <t>Puissance acoustique de nuit LwA (dB(A))</t>
        </is>
      </c>
      <c r="B4" s="8" t="n">
        <v>52</v>
      </c>
    </row>
    <row r="5">
      <c r="A5" s="3" t="inlineStr">
        <is>
          <t>Distance à la fenêtre du voisin d (m)</t>
        </is>
      </c>
      <c r="B5" s="8" t="n">
        <v>8</v>
      </c>
    </row>
    <row r="6">
      <c r="A6" s="3" t="inlineStr">
        <is>
          <t>Correction de directivité Dc (dB) : 3, 6 ou 9</t>
        </is>
      </c>
      <c r="B6" s="7" t="n">
        <v>6</v>
      </c>
    </row>
    <row r="7">
      <c r="A7" s="3" t="inlineStr">
        <is>
          <t>Correction d'obstacle K (dB) : 0 ou −5 avec capot</t>
        </is>
      </c>
      <c r="B7" s="8" t="n">
        <v>0</v>
      </c>
    </row>
    <row r="8">
      <c r="A8" s="3" t="inlineStr">
        <is>
          <t>Valeur de planification de nuit (dB(A)) : 45 en DS II, 50 en DS III</t>
        </is>
      </c>
      <c r="B8" s="7" t="n">
        <v>45</v>
      </c>
    </row>
    <row r="9">
      <c r="A9" s="3" t="inlineStr">
        <is>
          <t>Correction de niveau de nuit Ke (dB)</t>
        </is>
      </c>
      <c r="B9" s="7" t="n">
        <v>6</v>
      </c>
    </row>
    <row r="10">
      <c r="A10" s="3" t="inlineStr">
        <is>
          <t>Correction d'un capot acoustique (dB)</t>
        </is>
      </c>
      <c r="B10" s="7" t="n">
        <v>-5</v>
      </c>
    </row>
    <row r="12">
      <c r="A12" s="3" t="inlineStr">
        <is>
          <t>Atténuation géométrique 20·log10(d) + 11 (dB)</t>
        </is>
      </c>
      <c r="B12" s="15">
        <f>ROUND(20*LOG10(MIN(500,MAX(0.5,B5)))+11,2)</f>
        <v/>
      </c>
    </row>
    <row r="13">
      <c r="A13" s="3" t="inlineStr">
        <is>
          <t>Niveau d'évaluation Lr à la fenêtre du voisin (dB(A))</t>
        </is>
      </c>
      <c r="B13" s="14">
        <f>ROUND(B4+B6-(20*LOG10(MIN(500,MAX(0.5,B5)))+11)+B9+B7,1)</f>
        <v/>
      </c>
    </row>
    <row r="14">
      <c r="A14" s="3" t="inlineStr">
        <is>
          <t>Marge avant dépassement = valeur de planification − Lr (dB)</t>
        </is>
      </c>
      <c r="B14" s="14">
        <f>ROUND(B8-B13,1)</f>
        <v/>
      </c>
    </row>
    <row r="15">
      <c r="A15" s="3" t="inlineStr">
        <is>
          <t>Conforme OPB (1 = oui)</t>
        </is>
      </c>
      <c r="B15" s="16">
        <f>IF(B13&lt;=B8,1,0)</f>
        <v/>
      </c>
    </row>
    <row r="16">
      <c r="A16" s="3" t="inlineStr">
        <is>
          <t>Distance minimale sans capot (m)</t>
        </is>
      </c>
      <c r="B16" s="15">
        <f>ROUND(10^((B4+B6+B9+0-B8-11)/20),2)</f>
        <v/>
      </c>
    </row>
    <row r="17">
      <c r="A17" s="3" t="inlineStr">
        <is>
          <t>Distance minimale avec la correction d'obstacle saisie (m)</t>
        </is>
      </c>
      <c r="B17" s="15">
        <f>ROUND(10^((B4+B6+B9+B7-B8-11)/20),2)</f>
        <v/>
      </c>
    </row>
    <row r="18">
      <c r="A18" s="3" t="inlineStr">
        <is>
          <t>Distance minimale avec un capot (m)</t>
        </is>
      </c>
      <c r="B18" s="15">
        <f>ROUND(10^((B4+B6+B9+B10-B8-11)/20),2)</f>
        <v/>
      </c>
    </row>
    <row r="20">
      <c r="A20" s="3" t="inlineStr">
        <is>
          <t>Volet B : isolement acoustique entre logements. Mesures (jaune) et seuils du statut choisi (jaune)</t>
        </is>
      </c>
    </row>
    <row r="21">
      <c r="A21" s="3" t="inlineStr">
        <is>
          <t>Isolement Di mesuré (dB), à atteindre ou dépasser</t>
        </is>
      </c>
      <c r="B21" s="8" t="n">
        <v>56</v>
      </c>
    </row>
    <row r="22">
      <c r="A22" s="3" t="inlineStr">
        <is>
          <t>Bruit de choc L'nT,w mesuré (dB), à ne pas dépasser</t>
        </is>
      </c>
      <c r="B22" s="8" t="n">
        <v>51</v>
      </c>
    </row>
    <row r="23">
      <c r="A23" s="3" t="inlineStr">
        <is>
          <t>Équipements techniques LH,tot mesuré (dB(A)), à ne pas dépasser</t>
        </is>
      </c>
      <c r="B23" s="8" t="n">
        <v>29</v>
      </c>
    </row>
    <row r="24">
      <c r="A24" s="3" t="inlineStr">
        <is>
          <t>Bruit continu CVC mesuré (dB(A)), à ne pas dépasser</t>
        </is>
      </c>
      <c r="B24" s="8" t="n">
        <v>24</v>
      </c>
    </row>
    <row r="25">
      <c r="A25" s="3" t="inlineStr">
        <is>
          <t>Seuil Di (dB)</t>
        </is>
      </c>
      <c r="B25" s="7" t="n">
        <v>55</v>
      </c>
    </row>
    <row r="26">
      <c r="A26" s="3" t="inlineStr">
        <is>
          <t>Seuil L'nT,w (dB)</t>
        </is>
      </c>
      <c r="B26" s="7" t="n">
        <v>50</v>
      </c>
    </row>
    <row r="27">
      <c r="A27" s="3" t="inlineStr">
        <is>
          <t>Seuil LH,tot (dB(A))</t>
        </is>
      </c>
      <c r="B27" s="7" t="n">
        <v>30</v>
      </c>
    </row>
    <row r="28">
      <c r="A28" s="3" t="inlineStr">
        <is>
          <t>Seuil CVC (dB(A))</t>
        </is>
      </c>
      <c r="B28" s="7" t="n">
        <v>25</v>
      </c>
    </row>
    <row r="30">
      <c r="A30" s="3" t="inlineStr">
        <is>
          <t>Di conforme (1 = oui)</t>
        </is>
      </c>
      <c r="B30" s="16">
        <f>IF(B21&gt;=B25,1,0)</f>
        <v/>
      </c>
    </row>
    <row r="31">
      <c r="A31" s="3" t="inlineStr">
        <is>
          <t>Marge Di (dB)</t>
        </is>
      </c>
      <c r="B31" s="14">
        <f>ROUND(B21-B25,1)</f>
        <v/>
      </c>
    </row>
    <row r="32">
      <c r="A32" s="3" t="inlineStr">
        <is>
          <t>L'nT,w conforme (1 = oui)</t>
        </is>
      </c>
      <c r="B32" s="16">
        <f>IF(B22&lt;=B26,1,0)</f>
        <v/>
      </c>
    </row>
    <row r="33">
      <c r="A33" s="3" t="inlineStr">
        <is>
          <t>Marge L'nT,w (dB)</t>
        </is>
      </c>
      <c r="B33" s="14">
        <f>ROUND(B26-B22,1)</f>
        <v/>
      </c>
    </row>
    <row r="34">
      <c r="A34" s="3" t="inlineStr">
        <is>
          <t>LH,tot conforme (1 = oui)</t>
        </is>
      </c>
      <c r="B34" s="16">
        <f>IF(B23&lt;=B27,1,0)</f>
        <v/>
      </c>
    </row>
    <row r="35">
      <c r="A35" s="3" t="inlineStr">
        <is>
          <t>Marge LH,tot (dB)</t>
        </is>
      </c>
      <c r="B35" s="14">
        <f>ROUND(B27-B23,1)</f>
        <v/>
      </c>
    </row>
    <row r="36">
      <c r="A36" s="3" t="inlineStr">
        <is>
          <t>CVC conforme (1 = oui)</t>
        </is>
      </c>
      <c r="B36" s="16">
        <f>IF(B24&lt;=B28,1,0)</f>
        <v/>
      </c>
    </row>
    <row r="37">
      <c r="A37" s="3" t="inlineStr">
        <is>
          <t>Marge CVC (dB)</t>
        </is>
      </c>
      <c r="B37" s="14">
        <f>ROUND(B28-B24,1)</f>
        <v/>
      </c>
    </row>
    <row r="38">
      <c r="A38" s="3" t="inlineStr">
        <is>
          <t>Critères conformes sur 4</t>
        </is>
      </c>
      <c r="B38" s="16">
        <f>B30+B32+B34+B36</f>
        <v/>
      </c>
    </row>
    <row r="40">
      <c r="A40" s="3" t="inlineStr">
        <is>
          <t>Seuils par statut (cahier des charges) : Logement en location (Exigences minimales SIA 181) : Di ≥ 52, L'nT,w ≤ 53, LH ≤ 33, CVC ≤ 33 ; Propriété par étages PPE (Exigences accrues : +3 dB pour le bruit aérien, −3 dB pour le bruit de choc) : Di ≥ 55, L'nT,w ≤ 50, LH ≤ 30, CVC ≤ 25 ; Maisons contiguës ou jumelées (Exigences accrues renforcées) : Di ≥ 57, L'nT,w ≤ 48, LH ≤ 30, CVC ≤ 25. Le seuil CVC en location n'est pas fourni par le cahier : valeur des équipements retenue.</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20"/>
  <sheetViews>
    <sheetView showGridLines="0" workbookViewId="0">
      <selection activeCell="A1" sqref="A1"/>
    </sheetView>
  </sheetViews>
  <sheetFormatPr baseColWidth="8" defaultRowHeight="15"/>
  <cols>
    <col width="96" customWidth="1" min="1" max="1"/>
    <col width="20" customWidth="1" min="2" max="2"/>
  </cols>
  <sheetData>
    <row r="1">
      <c r="A1" s="5" t="inlineStr">
        <is>
          <t>5.7 · Accélération sismique de dimensionnement (SIA 261) et verdict de rénovation (SIA 269/8)</t>
        </is>
      </c>
    </row>
    <row r="2">
      <c r="A2" s="6" t="inlineStr">
        <is>
          <t>Cellules jaunes = à saisir. agd,eff = agd × γf × S. Zones : Zone Z1 0.6, Zone Z2 1.0, Zone Z3a 1.3, Zone Z3b 1.6 m/s². Facteur αeff : à calculer par un ingénieur civil ; laissez la cellule vide s'il est inconnu.</t>
        </is>
      </c>
    </row>
    <row r="4">
      <c r="A4" s="3" t="inlineStr">
        <is>
          <t>Accélération de la zone agd (m/s²)</t>
        </is>
      </c>
      <c r="B4" s="8" t="n">
        <v>0.6</v>
      </c>
    </row>
    <row r="5">
      <c r="A5" s="3" t="inlineStr">
        <is>
          <t>Coefficient de sol S</t>
        </is>
      </c>
      <c r="B5" s="9" t="n">
        <v>1</v>
      </c>
    </row>
    <row r="6">
      <c r="A6" s="3" t="inlineStr">
        <is>
          <t>Facteur d'importance γf</t>
        </is>
      </c>
      <c r="B6" s="8" t="n">
        <v>1</v>
      </c>
    </row>
    <row r="7">
      <c r="A7" s="3" t="inlineStr">
        <is>
          <t>Valeur d'assurance incendie ECA (CHF)</t>
        </is>
      </c>
      <c r="B7" s="7" t="n">
        <v>2000000</v>
      </c>
    </row>
    <row r="8">
      <c r="A8" s="3" t="inlineStr">
        <is>
          <t>Coût des travaux de transformation (CHF)</t>
        </is>
      </c>
      <c r="B8" s="7" t="n">
        <v>450000</v>
      </c>
    </row>
    <row r="9">
      <c r="A9" s="3" t="inlineStr">
        <is>
          <t>Facteur de conformité αeff calculé (vide = inconnu)</t>
        </is>
      </c>
      <c r="B9" s="9" t="n"/>
    </row>
    <row r="10">
      <c r="A10" s="3" t="inlineStr">
        <is>
          <t>αeff minimum de la classe d'ouvrage</t>
        </is>
      </c>
      <c r="B10" s="9" t="n">
        <v>0.25</v>
      </c>
    </row>
    <row r="11">
      <c r="A11" s="3" t="inlineStr">
        <is>
          <t>αeff au-delà duquel le bâtiment est conforme</t>
        </is>
      </c>
      <c r="B11" s="9" t="n">
        <v>0.4</v>
      </c>
    </row>
    <row r="12">
      <c r="A12" s="3" t="inlineStr">
        <is>
          <t>Accélération de référence (zone Z1, sol A, classe I)</t>
        </is>
      </c>
      <c r="B12" s="8" t="n">
        <v>0.6</v>
      </c>
    </row>
    <row r="14">
      <c r="A14" s="3" t="inlineStr">
        <is>
          <t>Accélération effective agd,eff (m/s²)</t>
        </is>
      </c>
      <c r="B14" s="12">
        <f>ROUND(B4*B6*B5,3)</f>
        <v/>
      </c>
    </row>
    <row r="15">
      <c r="A15" s="3" t="inlineStr">
        <is>
          <t>Sollicitation relative à la référence</t>
        </is>
      </c>
      <c r="B15" s="15">
        <f>ROUND(B14/B12,2)</f>
        <v/>
      </c>
    </row>
    <row r="16">
      <c r="A16" s="3" t="inlineStr">
        <is>
          <t>Ratio travaux / valeur d'assurance (%)</t>
        </is>
      </c>
      <c r="B16" s="14">
        <f>IF(B7&gt;0,ROUND(B8/MAX(B7,0.01)*100,1),"")</f>
        <v/>
      </c>
    </row>
    <row r="17">
      <c r="A17" s="3" t="inlineStr">
        <is>
          <t>Verdict SIA 269/8 (obligatoire, proportionnee, conforme ou inconnu)</t>
        </is>
      </c>
      <c r="B17" s="19">
        <f>IF(B9="","inconnu",IF(N(B9)&lt;B10,"obligatoire",IF(N(B9)&lt;B11,"proportionnee","conforme")))</f>
        <v/>
      </c>
    </row>
    <row r="19">
      <c r="A19" s="3" t="inlineStr">
        <is>
          <t>Classes de sol : Classe A (Rocher sain) S = 1.0 ; Classe B (Dépôts denses de graviers/sables) S = 1.2 ; Classe C (Sables/graviers moyennement denses) S = 1.15 ; Classe D (Sols fins/alluvions meubles de plaine du Rhône) S = 1.35 ; Classe E (Couche d'alluvions souple sur rocher) S = 1.4. Classes d'ouvrage : CO I (Habitations, bureaux, commerces standards) γf = 1.0 ; CO II (Écoles, grands rassemblements &gt; 200 personnes, bâtiments publics) γf = 1.2 ; CO III (Hôpitaux, casernes de pompiers, infrastructures vitales) γf = 1.4.</t>
        </is>
      </c>
    </row>
    <row r="20">
      <c r="A20" s="3" t="inlineStr">
        <is>
          <t>αeff minimum : 0,25 pour les classes d'ouvrage I et II courantes, 0,40 pour la classe III et les écoles ou infrastructures importantes (d'après les sources consultées ; le cahier annonce 0,25 et 0,40 pour toutes les classes).</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H32"/>
  <sheetViews>
    <sheetView showGridLines="0" workbookViewId="0">
      <selection activeCell="A1" sqref="A1"/>
    </sheetView>
  </sheetViews>
  <sheetFormatPr baseColWidth="8" defaultRowHeight="15"/>
  <cols>
    <col width="7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5" t="inlineStr">
        <is>
          <t>5.8 · Contrôle des cotes de la norme SIA 500 (constructions sans obstacles) et longueur de rampe</t>
        </is>
      </c>
    </row>
    <row r="2">
      <c r="A2" s="6" t="inlineStr">
        <is>
          <t>Cellules jaunes = à saisir (mesure, seuils de la catégorie). Verdict : ok, limite (couloir 100 à 119 cm, rampe 6 à 12 %) ou non. Cotes du cahier des charges, non vérifiées dans la norme.</t>
        </is>
      </c>
    </row>
    <row r="4">
      <c r="A4" s="13" t="inlineStr">
        <is>
          <t>Zone et cote</t>
        </is>
      </c>
      <c r="B4" s="13" t="inlineStr">
        <is>
          <t>Mesure 1</t>
        </is>
      </c>
      <c r="C4" s="13" t="inlineStr">
        <is>
          <t>Mesure 2</t>
        </is>
      </c>
      <c r="D4" s="13" t="inlineStr">
        <is>
          <t>Seuil 1</t>
        </is>
      </c>
      <c r="E4" s="13" t="inlineStr">
        <is>
          <t>Seuil 2 (limite)</t>
        </is>
      </c>
      <c r="F4" s="13" t="inlineStr">
        <is>
          <t>Autre seuil 1</t>
        </is>
      </c>
      <c r="G4" s="13" t="inlineStr">
        <is>
          <t>Autre seuil 2</t>
        </is>
      </c>
      <c r="H4" s="13" t="inlineStr">
        <is>
          <t>Verdict</t>
        </is>
      </c>
    </row>
    <row r="5">
      <c r="A5" s="3" t="inlineStr">
        <is>
          <t>Porte : passage utile (mm)</t>
        </is>
      </c>
      <c r="B5" s="8" t="n">
        <v>850</v>
      </c>
      <c r="D5" s="8" t="n">
        <v>800</v>
      </c>
      <c r="H5" s="19">
        <f>IF(B5&gt;=D5,"ok","non")</f>
        <v/>
      </c>
    </row>
    <row r="6">
      <c r="A6" s="3" t="inlineStr">
        <is>
          <t>Porte : espace libre latéral (cm)</t>
        </is>
      </c>
      <c r="B6" s="8" t="n">
        <v>55</v>
      </c>
      <c r="D6" s="8" t="n">
        <v>50</v>
      </c>
      <c r="H6" s="19">
        <f>IF(B6&gt;=D6,"ok","non")</f>
        <v/>
      </c>
    </row>
    <row r="7">
      <c r="A7" s="3" t="inlineStr">
        <is>
          <t>Seuil : hauteur à ne pas dépasser (mm)</t>
        </is>
      </c>
      <c r="B7" s="8" t="n">
        <v>20</v>
      </c>
      <c r="D7" s="8" t="n">
        <v>25</v>
      </c>
      <c r="H7" s="19">
        <f>IF(B7&lt;=D7,"ok","non")</f>
        <v/>
      </c>
    </row>
    <row r="8">
      <c r="A8" s="3" t="inlineStr">
        <is>
          <t>Couloir : largeur (cm)</t>
        </is>
      </c>
      <c r="B8" s="8" t="n">
        <v>125</v>
      </c>
      <c r="D8" s="8" t="n">
        <v>120</v>
      </c>
      <c r="E8" s="8" t="n">
        <v>100</v>
      </c>
      <c r="H8" s="19">
        <f>IF(B8&gt;=D8,"ok",IF(B8&gt;=E8,"limite","non"))</f>
        <v/>
      </c>
    </row>
    <row r="9">
      <c r="A9" s="3" t="inlineStr">
        <is>
          <t>Aire de rotation (cm × cm), deux sens</t>
        </is>
      </c>
      <c r="B9" s="8" t="n">
        <v>140</v>
      </c>
      <c r="C9" s="8" t="n">
        <v>140</v>
      </c>
      <c r="D9" s="8" t="n">
        <v>140</v>
      </c>
      <c r="E9" s="8" t="n">
        <v>140</v>
      </c>
      <c r="F9" s="8" t="n">
        <v>140</v>
      </c>
      <c r="G9" s="8" t="n">
        <v>140</v>
      </c>
      <c r="H9" s="19">
        <f>IF(OR(AND(B9&gt;=D9,C9&gt;=E9),AND(B9&gt;=E9,C9&gt;=D9),AND(B9&gt;=F9,C9&gt;=G9),AND(B9&gt;=G9,C9&gt;=F9)),"ok","non")</f>
        <v/>
      </c>
    </row>
    <row r="10">
      <c r="A10" s="3" t="inlineStr">
        <is>
          <t>Rampe : pente (%), à ne pas dépasser</t>
        </is>
      </c>
      <c r="B10" s="8" t="n">
        <v>6</v>
      </c>
      <c r="D10" s="8" t="n">
        <v>6</v>
      </c>
      <c r="E10" s="8" t="n">
        <v>12</v>
      </c>
      <c r="H10" s="19">
        <f>IF(B10&lt;=D10,"ok",IF(B10&lt;=E10,"limite","non"))</f>
        <v/>
      </c>
    </row>
    <row r="11">
      <c r="A11" s="3" t="inlineStr">
        <is>
          <t>Rampe : largeur nette (cm)</t>
        </is>
      </c>
      <c r="B11" s="8" t="n">
        <v>120</v>
      </c>
      <c r="D11" s="8" t="n">
        <v>120</v>
      </c>
      <c r="H11" s="19">
        <f>IF(B11&gt;=D11,"ok","non")</f>
        <v/>
      </c>
    </row>
    <row r="12">
      <c r="A12" s="3" t="inlineStr">
        <is>
          <t>Rampe : palier de repos (cm)</t>
        </is>
      </c>
      <c r="B12" s="8" t="n">
        <v>140</v>
      </c>
      <c r="D12" s="8" t="n">
        <v>140</v>
      </c>
      <c r="H12" s="19">
        <f>IF(B12&gt;=D12,"ok","non")</f>
        <v/>
      </c>
    </row>
    <row r="13">
      <c r="A13" s="3" t="inlineStr">
        <is>
          <t>WC ou salle d'eau (cm × cm), deux sens</t>
        </is>
      </c>
      <c r="B13" s="8" t="n">
        <v>130</v>
      </c>
      <c r="C13" s="8" t="n">
        <v>130</v>
      </c>
      <c r="D13" s="8" t="n">
        <v>120</v>
      </c>
      <c r="E13" s="8" t="n">
        <v>120</v>
      </c>
      <c r="H13" s="19">
        <f>IF(OR(AND(B13&gt;=D13,C13&gt;=E13),AND(B13&gt;=E13,C13&gt;=D13)),"ok","non")</f>
        <v/>
      </c>
    </row>
    <row r="14">
      <c r="A14" s="3" t="inlineStr">
        <is>
          <t>Ascenseur : cabine (cm × cm), deux sens</t>
        </is>
      </c>
      <c r="B14" s="8" t="n">
        <v>110</v>
      </c>
      <c r="C14" s="8" t="n">
        <v>140</v>
      </c>
      <c r="D14" s="8" t="n">
        <v>110</v>
      </c>
      <c r="E14" s="8" t="n">
        <v>140</v>
      </c>
      <c r="H14" s="19">
        <f>IF(OR(AND(B14&gt;=D14,C14&gt;=E14),AND(B14&gt;=E14,C14&gt;=D14)),"ok","non")</f>
        <v/>
      </c>
    </row>
    <row r="15">
      <c r="A15" s="3" t="inlineStr">
        <is>
          <t>Ascenseur : largeur de porte (cm)</t>
        </is>
      </c>
      <c r="B15" s="8" t="n">
        <v>85</v>
      </c>
      <c r="D15" s="8" t="n">
        <v>80</v>
      </c>
      <c r="H15" s="19">
        <f>IF(B15&gt;=D15,"ok","non")</f>
        <v/>
      </c>
    </row>
    <row r="16">
      <c r="A16" s="3" t="inlineStr">
        <is>
          <t>Ascenseur : palier (cm)</t>
        </is>
      </c>
      <c r="B16" s="8" t="n">
        <v>140</v>
      </c>
      <c r="D16" s="8" t="n">
        <v>140</v>
      </c>
      <c r="H16" s="19">
        <f>IF(B16&gt;=D16,"ok","non")</f>
        <v/>
      </c>
    </row>
    <row r="18">
      <c r="A18" s="3" t="inlineStr">
        <is>
          <t>Cotes conformes</t>
        </is>
      </c>
      <c r="B18" s="16">
        <f>IF(H5="ok",1,0)+IF(H6="ok",1,0)+IF(H7="ok",1,0)+IF(H8="ok",1,0)+IF(H9="ok",1,0)+IF(H10="ok",1,0)+IF(H11="ok",1,0)+IF(H12="ok",1,0)+IF(H13="ok",1,0)+IF(H14="ok",1,0)+IF(H15="ok",1,0)+IF(H16="ok",1,0)</f>
        <v/>
      </c>
    </row>
    <row r="19">
      <c r="A19" s="3" t="inlineStr">
        <is>
          <t>Cotes à la limite</t>
        </is>
      </c>
      <c r="B19" s="16">
        <f>IF(H5="limite",1,0)+IF(H6="limite",1,0)+IF(H7="limite",1,0)+IF(H8="limite",1,0)+IF(H9="limite",1,0)+IF(H10="limite",1,0)+IF(H11="limite",1,0)+IF(H12="limite",1,0)+IF(H13="limite",1,0)+IF(H14="limite",1,0)+IF(H15="limite",1,0)+IF(H16="limite",1,0)</f>
        <v/>
      </c>
    </row>
    <row r="20">
      <c r="A20" s="3" t="inlineStr">
        <is>
          <t>Cotes non conformes</t>
        </is>
      </c>
      <c r="B20" s="16">
        <f>IF(H5="non",1,0)+IF(H6="non",1,0)+IF(H7="non",1,0)+IF(H8="non",1,0)+IF(H9="non",1,0)+IF(H10="non",1,0)+IF(H11="non",1,0)+IF(H12="non",1,0)+IF(H13="non",1,0)+IF(H14="non",1,0)+IF(H15="non",1,0)+IF(H16="non",1,0)</f>
        <v/>
      </c>
    </row>
    <row r="21">
      <c r="A21" s="3" t="inlineStr">
        <is>
          <t>Seuils par catégorie : lateral cat. I 60 cm, cat. II 50 cm ; rotation cat. I 140 × 170 ou 150 × 150, cat. II 140 × 140 ; WC cat. I 165 × 180, cat. II 120 × 120 ; porte d'ascenseur cat. I 90 cm, cat. II 80 cm.</t>
        </is>
      </c>
    </row>
    <row r="23">
      <c r="A23" s="3" t="inlineStr">
        <is>
          <t>Hauteur à franchir (cm)</t>
        </is>
      </c>
      <c r="B23" s="7" t="n">
        <v>45</v>
      </c>
    </row>
    <row r="24">
      <c r="A24" s="3" t="inlineStr">
        <is>
          <t>Pente visée (%)</t>
        </is>
      </c>
      <c r="B24" s="8" t="n">
        <v>6</v>
      </c>
    </row>
    <row r="25">
      <c r="A25" s="3" t="inlineStr">
        <is>
          <t>Palier de repos (cm)</t>
        </is>
      </c>
      <c r="B25" s="7" t="n">
        <v>140</v>
      </c>
    </row>
    <row r="26">
      <c r="A26" s="3" t="inlineStr">
        <is>
          <t>Un palier tous les (m)</t>
        </is>
      </c>
      <c r="B26" s="7" t="n">
        <v>15</v>
      </c>
    </row>
    <row r="27">
      <c r="A27" s="3" t="inlineStr">
        <is>
          <t>Ou par dénivelé de (cm)</t>
        </is>
      </c>
      <c r="B27" s="7" t="n">
        <v>80</v>
      </c>
    </row>
    <row r="29">
      <c r="A29" s="3" t="inlineStr">
        <is>
          <t>Longueur horizontale de rampe = hauteur / pente (m)</t>
        </is>
      </c>
      <c r="B29" s="15">
        <f>ROUND(MAX(0,B23)/MAX(0.1,B24),2)</f>
        <v/>
      </c>
    </row>
    <row r="30">
      <c r="A30" s="3" t="inlineStr">
        <is>
          <t>Paliers de repos intermédiaires</t>
        </is>
      </c>
      <c r="B30" s="16">
        <f>MAX(0,ROUNDUP(ROUND(B29/B26,6),0)-1,ROUNDUP(ROUND(MAX(0,B23)/B27,6),0)-1)</f>
        <v/>
      </c>
    </row>
    <row r="31">
      <c r="A31" s="3" t="inlineStr">
        <is>
          <t>Développement total avec les paliers intermédiaires (m)</t>
        </is>
      </c>
      <c r="B31" s="15">
        <f>ROUND(B29+B30*B25/100,2)</f>
        <v/>
      </c>
    </row>
    <row r="32">
      <c r="A32" s="3" t="inlineStr">
        <is>
          <t>Pente conforme à 6 % (1 = oui)</t>
        </is>
      </c>
      <c r="B32" s="16">
        <f>IF(MAX(0.1,B24)&lt;=6.0,1,0)</f>
        <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30"/>
  <sheetViews>
    <sheetView showGridLines="0" workbookViewId="0">
      <selection activeCell="A1" sqref="A1"/>
    </sheetView>
  </sheetViews>
  <sheetFormatPr baseColWidth="8" defaultRowHeight="15"/>
  <cols>
    <col width="74" customWidth="1" min="1" max="1"/>
    <col width="22" customWidth="1" min="2" max="2"/>
    <col width="22" customWidth="1" min="3" max="3"/>
    <col width="26" customWidth="1" min="4" max="4"/>
    <col width="22" customWidth="1" min="5" max="5"/>
  </cols>
  <sheetData>
    <row r="1">
      <c r="A1" s="5" t="inlineStr">
        <is>
          <t>5.9 · Charge de neige sur toiture (SIA 261) et exigences de protection incendie (AEAI)</t>
        </is>
      </c>
    </row>
    <row r="2">
      <c r="A2" s="6" t="inlineStr">
        <is>
          <t>Cellules jaunes = à saisir. sk = max(0,90 ; (1 + (h_eq/350)²) × 0,40) ; μ1 = 0,8 (jusqu'à 30° ou avec arrêt-neige), 0,8 × (60 − α) / 30 entre 30° et 60°, 0 dès 60° ; qk = μ1 × Ce × Ct × sk. Formules et seuils du cahier des charges.</t>
        </is>
      </c>
    </row>
    <row r="4">
      <c r="A4" s="3" t="inlineStr">
        <is>
          <t>Altitude de référence h0 (m)</t>
        </is>
      </c>
      <c r="B4" s="7" t="n">
        <v>600</v>
      </c>
    </row>
    <row r="5">
      <c r="A5" s="3" t="inlineStr">
        <is>
          <t>Correction d'altitude Δh (m)</t>
        </is>
      </c>
      <c r="B5" s="7" t="n">
        <v>0</v>
      </c>
    </row>
    <row r="6">
      <c r="A6" s="3" t="inlineStr">
        <is>
          <t>Angle d'inclinaison de la toiture α (°)</t>
        </is>
      </c>
      <c r="B6" s="7" t="n">
        <v>25</v>
      </c>
    </row>
    <row r="7">
      <c r="A7" s="3" t="inlineStr">
        <is>
          <t>Arrêt-neige ou garde-neige (1 = oui)</t>
        </is>
      </c>
      <c r="B7" s="7" t="n">
        <v>0</v>
      </c>
    </row>
    <row r="8">
      <c r="A8" s="3" t="inlineStr">
        <is>
          <t>Coefficient d'exposition au vent Ce</t>
        </is>
      </c>
      <c r="B8" s="8" t="n">
        <v>1</v>
      </c>
    </row>
    <row r="9">
      <c r="A9" s="3" t="inlineStr">
        <is>
          <t>Coefficient thermique Ct</t>
        </is>
      </c>
      <c r="B9" s="8" t="n">
        <v>1</v>
      </c>
    </row>
    <row r="10">
      <c r="A10" s="3" t="inlineStr">
        <is>
          <t>Plancher de sk (kN/m²)</t>
        </is>
      </c>
      <c r="B10" s="9" t="n">
        <v>0.9</v>
      </c>
    </row>
    <row r="11">
      <c r="A11" s="3" t="inlineStr">
        <is>
          <t>Diviseur d'altitude (m)</t>
        </is>
      </c>
      <c r="B11" s="7" t="n">
        <v>350</v>
      </c>
    </row>
    <row r="12">
      <c r="A12" s="3" t="inlineStr">
        <is>
          <t>Coefficient de sk</t>
        </is>
      </c>
      <c r="B12" s="9" t="n">
        <v>0.4</v>
      </c>
    </row>
    <row r="13">
      <c r="A13" s="3" t="inlineStr">
        <is>
          <t>Coefficient μ1 maximal</t>
        </is>
      </c>
      <c r="B13" s="9" t="n">
        <v>0.8</v>
      </c>
    </row>
    <row r="14">
      <c r="A14" s="3" t="inlineStr">
        <is>
          <t>Conversion en kg/m² (par kN/m²)</t>
        </is>
      </c>
      <c r="B14" s="9" t="n">
        <v>101.97</v>
      </c>
    </row>
    <row r="16">
      <c r="A16" s="3" t="inlineStr">
        <is>
          <t>Altitude équivalente h_eq = h0 + Δh (m)</t>
        </is>
      </c>
      <c r="B16" s="16">
        <f>B4+B5</f>
        <v/>
      </c>
    </row>
    <row r="17">
      <c r="A17" s="3" t="inlineStr">
        <is>
          <t>Charge de neige au sol sk (kN/m²)</t>
        </is>
      </c>
      <c r="B17" s="15">
        <f>ROUND(MAX(B10,(1+(B16/B11)^2)*B12),2)</f>
        <v/>
      </c>
    </row>
    <row r="18">
      <c r="A18" s="3" t="inlineStr">
        <is>
          <t>sk en kg/m²</t>
        </is>
      </c>
      <c r="B18" s="16">
        <f>ROUND(B17*B14,0)</f>
        <v/>
      </c>
    </row>
    <row r="19">
      <c r="A19" s="3" t="inlineStr">
        <is>
          <t>μ1 non arrondi</t>
        </is>
      </c>
      <c r="B19" s="17">
        <f>IF(OR(B7=1,B6&lt;=30),B13,IF(B6&lt;60,B13*(60-B6)/30,0))</f>
        <v/>
      </c>
    </row>
    <row r="20">
      <c r="A20" s="3" t="inlineStr">
        <is>
          <t>Coefficient de forme μ1</t>
        </is>
      </c>
      <c r="B20" s="12">
        <f>ROUND(B19,3)</f>
        <v/>
      </c>
    </row>
    <row r="21">
      <c r="A21" s="3" t="inlineStr">
        <is>
          <t>Charge de neige sur la toiture qk (kN/m²)</t>
        </is>
      </c>
      <c r="B21" s="15">
        <f>ROUND(B19*B8*B9*B17,2)</f>
        <v/>
      </c>
    </row>
    <row r="22">
      <c r="A22" s="3" t="inlineStr">
        <is>
          <t>qk en kg/m²</t>
        </is>
      </c>
      <c r="B22" s="16">
        <f>ROUND(B21*B14,0)</f>
        <v/>
      </c>
    </row>
    <row r="25">
      <c r="A25" s="13" t="inlineStr">
        <is>
          <t>Catégorie de hauteur (AEAI, cahier des charges)</t>
        </is>
      </c>
      <c r="B25" s="13" t="inlineStr">
        <is>
          <t>Structure porteuse</t>
        </is>
      </c>
      <c r="C25" s="13" t="inlineStr">
        <is>
          <t>Portes palières</t>
        </is>
      </c>
      <c r="D25" s="13" t="inlineStr">
        <is>
          <t>Cage d'escalier</t>
        </is>
      </c>
      <c r="E25" s="13" t="inlineStr">
        <is>
          <t>Voies d'évacuation verticales</t>
        </is>
      </c>
    </row>
    <row r="26">
      <c r="A26" s="3" t="inlineStr">
        <is>
          <t>1. Bâtiment de faible hauteur (h ≤ 11 m — villa, petit immeuble R+2)</t>
        </is>
      </c>
      <c r="B26" s="3" t="inlineStr">
        <is>
          <t>R 30 (ou aucune exigence pour une villa individuelle de 11 m au plus)</t>
        </is>
      </c>
      <c r="C26" s="3" t="inlineStr">
        <is>
          <t>EI 30</t>
        </is>
      </c>
      <c r="D26" s="3" t="inlineStr">
        <is>
          <t>selon la directive AEAI (petit immeuble)</t>
        </is>
      </c>
      <c r="E26" s="3" t="inlineStr">
        <is>
          <t>RF1</t>
        </is>
      </c>
    </row>
    <row r="27">
      <c r="A27" s="3" t="inlineStr">
        <is>
          <t>2. Bâtiment de moyenne hauteur (11 m &lt; h ≤ 30 m — immeuble standard R+3 à R+8)</t>
        </is>
      </c>
      <c r="B27" s="3" t="inlineStr">
        <is>
          <t>REI 60</t>
        </is>
      </c>
      <c r="C27" s="3" t="inlineStr">
        <is>
          <t>EI 30</t>
        </is>
      </c>
      <c r="D27" s="3" t="inlineStr">
        <is>
          <t>REI 60</t>
        </is>
      </c>
      <c r="E27" s="3" t="inlineStr">
        <is>
          <t>RF1</t>
        </is>
      </c>
    </row>
    <row r="28">
      <c r="A28" s="3" t="inlineStr">
        <is>
          <t>3. Bâtiment élevé / tour (h &gt; 30 m)</t>
        </is>
      </c>
      <c r="B28" s="3" t="inlineStr">
        <is>
          <t>REI 90</t>
        </is>
      </c>
      <c r="C28" s="3" t="inlineStr">
        <is>
          <t>EI 30</t>
        </is>
      </c>
      <c r="D28" s="3" t="inlineStr">
        <is>
          <t>REI 60</t>
        </is>
      </c>
      <c r="E28" s="3" t="inlineStr">
        <is>
          <t>RF1</t>
        </is>
      </c>
    </row>
    <row r="30">
      <c r="A30" s="3" t="inlineStr">
        <is>
          <t>Affectations pouvant ajouter des exigences : Parking souterrain ; Hôtel / Hôpital / École ; Industrie / Artisanal.</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34"/>
  <sheetViews>
    <sheetView showGridLines="0" workbookViewId="0">
      <selection activeCell="A1" sqref="A1"/>
    </sheetView>
  </sheetViews>
  <sheetFormatPr baseColWidth="8" defaultRowHeight="15"/>
  <cols>
    <col width="86" customWidth="1" min="1" max="1"/>
    <col width="70" customWidth="1" min="2" max="2"/>
  </cols>
  <sheetData>
    <row r="1">
      <c r="A1" s="5" t="inlineStr">
        <is>
          <t>5.10 · Droits à bâtir d'une parcelle (IBUS, IOS, CUS, COS) et distance à la limite</t>
        </is>
      </c>
    </row>
    <row r="2">
      <c r="A2" s="6" t="inlineStr">
        <is>
          <t>Cellules jaunes = à saisir. Mode : 1 = IBUS (standard AIHC), 2 = CUS (ancien système, converti par le facteur 1,20 à 1,25). Surface utile = 80 % de la SPd. Facteurs, surface utile et règles de distance : cahier des charges, non vérifiés.</t>
        </is>
      </c>
    </row>
    <row r="4">
      <c r="A4" s="3" t="inlineStr">
        <is>
          <t>Surface nette déterminante de la parcelle STd (m²)</t>
        </is>
      </c>
      <c r="B4" s="7" t="n">
        <v>1000</v>
      </c>
    </row>
    <row r="5">
      <c r="A5" s="3" t="inlineStr">
        <is>
          <t>Indice fixé par la commune (IBUS ou CUS)</t>
        </is>
      </c>
      <c r="B5" s="9" t="n">
        <v>0.6</v>
      </c>
    </row>
    <row r="6">
      <c r="A6" s="3" t="inlineStr">
        <is>
          <t>Mode (1 = IBUS, 2 = CUS)</t>
        </is>
      </c>
      <c r="B6" s="7" t="n">
        <v>1</v>
      </c>
    </row>
    <row r="7">
      <c r="A7" s="3" t="inlineStr">
        <is>
          <t>IOS ou COS</t>
        </is>
      </c>
      <c r="B7" s="9" t="n">
        <v>0.25</v>
      </c>
    </row>
    <row r="8">
      <c r="A8" s="3" t="inlineStr">
        <is>
          <t>Bonus énergétique (%)</t>
        </is>
      </c>
      <c r="B8" s="7" t="n">
        <v>0</v>
      </c>
    </row>
    <row r="9">
      <c r="A9" s="3" t="inlineStr">
        <is>
          <t>Facteur de conversion CUS en IBUS, bas</t>
        </is>
      </c>
      <c r="B9" s="9" t="n">
        <v>1.2</v>
      </c>
    </row>
    <row r="10">
      <c r="A10" s="3" t="inlineStr">
        <is>
          <t>Facteur de conversion CUS en IBUS, haut</t>
        </is>
      </c>
      <c r="B10" s="9" t="n">
        <v>1.25</v>
      </c>
    </row>
    <row r="11">
      <c r="A11" s="3" t="inlineStr">
        <is>
          <t>Part de surface utile dans la SPd</t>
        </is>
      </c>
      <c r="B11" s="9" t="n">
        <v>0.8</v>
      </c>
    </row>
    <row r="12">
      <c r="A12" s="3" t="inlineStr">
        <is>
          <t>Hauteur du bâtiment (m)</t>
        </is>
      </c>
      <c r="B12" s="8" t="n">
        <v>9</v>
      </c>
    </row>
    <row r="13">
      <c r="A13" s="3" t="inlineStr">
        <is>
          <t>Fraction de la hauteur pour la distance (0 = pas de règle chiffrée)</t>
        </is>
      </c>
      <c r="B13" s="18" t="n">
        <v>0</v>
      </c>
    </row>
    <row r="14">
      <c r="A14" s="3" t="inlineStr">
        <is>
          <t>Distance minimale de la règle (m)</t>
        </is>
      </c>
      <c r="B14" s="8" t="n">
        <v>0</v>
      </c>
    </row>
    <row r="16">
      <c r="A16" s="3" t="inlineStr">
        <is>
          <t>SPd maximale, bas de la fourchette (m²)</t>
        </is>
      </c>
      <c r="B16" s="11">
        <f>IF(B6=1,ROUND(B4*B5*(1+B8/100),2),ROUND(B4*B5*B9*(1+B8/100),2))</f>
        <v/>
      </c>
    </row>
    <row r="17">
      <c r="A17" s="3" t="inlineStr">
        <is>
          <t>SPd maximale, haut de la fourchette (m²)</t>
        </is>
      </c>
      <c r="B17" s="11">
        <f>IF(B6=1,ROUND(B4*B5*(1+B8/100),2),ROUND(B4*B5*B10*(1+B8/100),2))</f>
        <v/>
      </c>
    </row>
    <row r="18">
      <c r="A18" s="3" t="inlineStr">
        <is>
          <t>Surface utile estimée, bas (m²)</t>
        </is>
      </c>
      <c r="B18" s="11">
        <f>ROUND(B16*B11,2)</f>
        <v/>
      </c>
    </row>
    <row r="19">
      <c r="A19" s="3" t="inlineStr">
        <is>
          <t>Surface utile estimée, haut (m²)</t>
        </is>
      </c>
      <c r="B19" s="11">
        <f>ROUND(B17*B11,2)</f>
        <v/>
      </c>
    </row>
    <row r="20">
      <c r="A20" s="3" t="inlineStr">
        <is>
          <t>Emprise au sol maximale = STd × IOS (m²)</t>
        </is>
      </c>
      <c r="B20" s="11">
        <f>ROUND(B4*B7,2)</f>
        <v/>
      </c>
    </row>
    <row r="21">
      <c r="A21" s="3" t="inlineStr">
        <is>
          <t>IBUS équivalent, bas</t>
        </is>
      </c>
      <c r="B21" s="12">
        <f>IF(B6=1,B5,ROUND(B5*B9,3))</f>
        <v/>
      </c>
    </row>
    <row r="22">
      <c r="A22" s="3" t="inlineStr">
        <is>
          <t>IBUS équivalent, haut</t>
        </is>
      </c>
      <c r="B22" s="12">
        <f>IF(B6=1,B5,ROUND(B5*B10,3))</f>
        <v/>
      </c>
    </row>
    <row r="23">
      <c r="A23" s="3" t="inlineStr">
        <is>
          <t>CUS équivalent, bas</t>
        </is>
      </c>
      <c r="B23" s="12">
        <f>IF(B6=1,ROUND(B5/B10,3),B5)</f>
        <v/>
      </c>
    </row>
    <row r="24">
      <c r="A24" s="3" t="inlineStr">
        <is>
          <t>CUS équivalent, haut</t>
        </is>
      </c>
      <c r="B24" s="12">
        <f>IF(B6=1,ROUND(B5/B9,3),B5)</f>
        <v/>
      </c>
    </row>
    <row r="25">
      <c r="A25" s="3" t="inlineStr">
        <is>
          <t>Distance minimale à la limite (m)</t>
        </is>
      </c>
      <c r="B25" s="15">
        <f>IF(B13&gt;0,ROUND(MAX(B14,B12*B13),2),"")</f>
        <v/>
      </c>
    </row>
    <row r="28">
      <c r="A28" s="13" t="inlineStr">
        <is>
          <t>Canton et loi</t>
        </is>
      </c>
      <c r="B28" s="13" t="inlineStr">
        <is>
          <t>Distance minimale à la limite de propriété</t>
        </is>
      </c>
    </row>
    <row r="29">
      <c r="A29" s="3" t="inlineStr">
        <is>
          <t>Vaud - LATC/RLATC</t>
        </is>
      </c>
      <c r="B29" s="3" t="inlineStr">
        <is>
          <t>Distance fixée par le règlement communal (PGA), souvent de 3 m à 6 m</t>
        </is>
      </c>
    </row>
    <row r="30">
      <c r="A30" s="3" t="inlineStr">
        <is>
          <t>Valais - LC/OC</t>
        </is>
      </c>
      <c r="B30" s="3" t="inlineStr">
        <is>
          <t>d = 1/3 de la hauteur de façade, au minimum 3,0 m</t>
        </is>
      </c>
    </row>
    <row r="31">
      <c r="A31" s="3" t="inlineStr">
        <is>
          <t>Genève - LCI</t>
        </is>
      </c>
      <c r="B31" s="3" t="inlineStr">
        <is>
          <t>Gabarits de la LCI (hauteur et distances fixées par la zone)</t>
        </is>
      </c>
    </row>
    <row r="32">
      <c r="A32" s="3" t="inlineStr">
        <is>
          <t>Fribourg - LATeC/ReLATeC</t>
        </is>
      </c>
      <c r="B32" s="3" t="inlineStr">
        <is>
          <t>d = h / 2, au minimum 4,0 m</t>
        </is>
      </c>
    </row>
    <row r="33">
      <c r="A33" s="3" t="inlineStr">
        <is>
          <t>Neuchâtel - LConstr</t>
        </is>
      </c>
      <c r="B33" s="3" t="inlineStr">
        <is>
          <t>Règle non fournie dans le cahier des charges : voir la loi et le règlement communal</t>
        </is>
      </c>
    </row>
    <row r="34">
      <c r="A34" s="3" t="inlineStr">
        <is>
          <t>Jura / Berne</t>
        </is>
      </c>
      <c r="B34" s="3" t="inlineStr">
        <is>
          <t>Règle non fournie dans le cahier des charges : voir la loi cantonale et le règlement communal</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24"/>
  <sheetViews>
    <sheetView showGridLines="0" workbookViewId="0">
      <selection activeCell="A1" sqref="A1"/>
    </sheetView>
  </sheetViews>
  <sheetFormatPr baseColWidth="8" defaultRowHeight="15"/>
  <cols>
    <col width="70" customWidth="1" min="1" max="1"/>
    <col width="36" customWidth="1" min="2" max="2"/>
    <col width="36" customWidth="1" min="3" max="3"/>
    <col width="36" customWidth="1" min="4" max="4"/>
    <col width="14" customWidth="1" min="5" max="5"/>
    <col width="14" customWidth="1" min="6" max="6"/>
    <col width="14" customWidth="1" min="7" max="7"/>
  </cols>
  <sheetData>
    <row r="1">
      <c r="A1" s="5" t="inlineStr">
        <is>
          <t>5.11 · Permis de construire, dispense ou mise à l'enquête : règles de l'assistant</t>
        </is>
      </c>
    </row>
    <row r="2">
      <c r="A2" s="6" t="inlineStr">
        <is>
          <t>Tableau de référence : procédure par travaux et par situation du bâtiment, seuils de minime importance par canton (valeurs prudentes du cahier, sauf Fribourg et les pergolas vaudoises et fribourgeoises, d'après des documents cantonaux). Non vérifié : seuils des autres cantons, délais d'instruction.</t>
        </is>
      </c>
    </row>
    <row r="4">
      <c r="A4" s="13" t="inlineStr">
        <is>
          <t>Travaux</t>
        </is>
      </c>
      <c r="B4" s="13" t="inlineStr">
        <is>
          <t>Zone à bâtir ordinaire</t>
        </is>
      </c>
      <c r="C4" s="13" t="inlineStr">
        <is>
          <t>Bâtiment protégé</t>
        </is>
      </c>
      <c r="D4" s="13" t="inlineStr">
        <is>
          <t>Hors zone à bâtir</t>
        </is>
      </c>
      <c r="E4" s="13" t="inlineStr">
        <is>
          <t>Seuil Vaud (m²)</t>
        </is>
      </c>
      <c r="F4" s="13" t="inlineStr">
        <is>
          <t>Seuil Fribourg (m²)</t>
        </is>
      </c>
      <c r="G4" s="13" t="inlineStr">
        <is>
          <t>Autres cantons (m²)</t>
        </is>
      </c>
    </row>
    <row r="5">
      <c r="A5" s="3" t="inlineStr">
        <is>
          <t>Panneaux solaires photovoltaïques en toiture bien intégrés</t>
        </is>
      </c>
      <c r="B5" s="3" t="inlineStr">
        <is>
          <t>Simple annonce</t>
        </is>
      </c>
      <c r="C5" s="3" t="inlineStr">
        <is>
          <t>Mise à l'enquête publique 30 jours</t>
        </is>
      </c>
      <c r="D5" s="3" t="inlineStr">
        <is>
          <t>Simple annonce</t>
        </is>
      </c>
    </row>
    <row r="6">
      <c r="A6" s="3" t="inlineStr">
        <is>
          <t>Remplacement d'une chaudière mazout/gaz par une pompe à chaleur (PAC) intérieure ou extérieure</t>
        </is>
      </c>
      <c r="B6" s="3" t="inlineStr">
        <is>
          <t>Dispense d'enquête municipale / APA accélérée</t>
        </is>
      </c>
      <c r="C6" s="3" t="inlineStr">
        <is>
          <t>Mise à l'enquête publique 30 jours</t>
        </is>
      </c>
      <c r="D6" s="3" t="inlineStr">
        <is>
          <t>Autorisation cantonale spéciale (art. 24 LAT)</t>
        </is>
      </c>
    </row>
    <row r="7">
      <c r="A7" s="3" t="inlineStr">
        <is>
          <t>Rénovation intérieure (cuisine, salle de bain, sols, peinture) sans toucher aux murs porteurs ni à l'affectation</t>
        </is>
      </c>
      <c r="B7" s="3" t="inlineStr">
        <is>
          <t>Dispense d'autorisation</t>
        </is>
      </c>
      <c r="C7" s="3" t="inlineStr">
        <is>
          <t>Mise à l'enquête publique 30 jours</t>
        </is>
      </c>
      <c r="D7" s="3" t="inlineStr">
        <is>
          <t>Dispense d'autorisation</t>
        </is>
      </c>
    </row>
    <row r="8">
      <c r="A8" s="3" t="inlineStr">
        <is>
          <t>Ouverture ou suppression d'un mur porteur intérieur</t>
        </is>
      </c>
      <c r="B8" s="3" t="inlineStr">
        <is>
          <t>Dispense d'enquête municipale / APA accélérée</t>
        </is>
      </c>
      <c r="C8" s="3" t="inlineStr">
        <is>
          <t>Mise à l'enquête publique 30 jours</t>
        </is>
      </c>
      <c r="D8" s="3" t="inlineStr">
        <is>
          <t>Autorisation cantonale spéciale (art. 24 LAT)</t>
        </is>
      </c>
    </row>
    <row r="9">
      <c r="A9" s="3" t="inlineStr">
        <is>
          <t>Réfection de façade ou de toiture à l'identique (même teinte et mêmes matériaux)</t>
        </is>
      </c>
      <c r="B9" s="3" t="inlineStr">
        <is>
          <t>Dispense d'enquête municipale / APA accélérée</t>
        </is>
      </c>
      <c r="C9" s="3" t="inlineStr">
        <is>
          <t>Mise à l'enquête publique 30 jours</t>
        </is>
      </c>
      <c r="D9" s="3" t="inlineStr">
        <is>
          <t>Dispense d'enquête municipale / APA accélérée</t>
        </is>
      </c>
    </row>
    <row r="10">
      <c r="A10" s="3" t="inlineStr">
        <is>
          <t>Modification de teinte, isolation périphérique (ITE) ou création de fenêtre / Velux</t>
        </is>
      </c>
      <c r="B10" s="3" t="inlineStr">
        <is>
          <t>Mise à l'enquête publique 30 jours</t>
        </is>
      </c>
      <c r="C10" s="3" t="inlineStr">
        <is>
          <t>Mise à l'enquête publique 30 jours</t>
        </is>
      </c>
      <c r="D10" s="3" t="inlineStr">
        <is>
          <t>Autorisation cantonale spéciale (art. 24 LAT)</t>
        </is>
      </c>
    </row>
    <row r="11">
      <c r="A11" s="3" t="inlineStr">
        <is>
          <t>Cabanon de jardin</t>
        </is>
      </c>
      <c r="B11" s="3" t="inlineStr">
        <is>
          <t>Libre jusqu'au seuil, enquête au-delà</t>
        </is>
      </c>
      <c r="C11" s="3" t="inlineStr">
        <is>
          <t>Mise à l'enquête publique 30 jours</t>
        </is>
      </c>
      <c r="D11" s="3" t="inlineStr">
        <is>
          <t>Autorisation cantonale spéciale (art. 24 LAT)</t>
        </is>
      </c>
      <c r="E11" s="16" t="n">
        <v>8</v>
      </c>
      <c r="F11" s="16" t="n">
        <v>6</v>
      </c>
      <c r="G11" s="16" t="n">
        <v>8</v>
      </c>
    </row>
    <row r="12">
      <c r="A12" s="3" t="inlineStr">
        <is>
          <t>Pergola non couverte</t>
        </is>
      </c>
      <c r="B12" s="3" t="inlineStr">
        <is>
          <t>Libre jusqu'au seuil, enquête au-delà</t>
        </is>
      </c>
      <c r="C12" s="3" t="inlineStr">
        <is>
          <t>Mise à l'enquête publique 30 jours</t>
        </is>
      </c>
      <c r="D12" s="3" t="inlineStr">
        <is>
          <t>Autorisation cantonale spéciale (art. 24 LAT)</t>
        </is>
      </c>
      <c r="E12" s="16" t="n">
        <v>12</v>
      </c>
      <c r="F12" s="16" t="n">
        <v>12</v>
      </c>
      <c r="G12" s="16" t="n">
        <v>8</v>
      </c>
    </row>
    <row r="13">
      <c r="A13" s="3" t="inlineStr">
        <is>
          <t>Couvert à voiture</t>
        </is>
      </c>
      <c r="B13" s="3" t="inlineStr">
        <is>
          <t>Libre jusqu'au seuil, enquête au-delà</t>
        </is>
      </c>
      <c r="C13" s="3" t="inlineStr">
        <is>
          <t>Mise à l'enquête publique 30 jours</t>
        </is>
      </c>
      <c r="D13" s="3" t="inlineStr">
        <is>
          <t>Autorisation cantonale spéciale (art. 24 LAT)</t>
        </is>
      </c>
      <c r="E13" s="16" t="n">
        <v>8</v>
      </c>
      <c r="F13" s="16" t="n">
        <v>6</v>
      </c>
      <c r="G13" s="16" t="n">
        <v>8</v>
      </c>
    </row>
    <row r="14">
      <c r="A14" s="3" t="inlineStr">
        <is>
          <t>Piscine enterrée</t>
        </is>
      </c>
      <c r="B14" s="3" t="inlineStr">
        <is>
          <t>Mise à l'enquête publique 30 jours</t>
        </is>
      </c>
      <c r="C14" s="3" t="inlineStr">
        <is>
          <t>Mise à l'enquête publique 30 jours</t>
        </is>
      </c>
      <c r="D14" s="3" t="inlineStr">
        <is>
          <t>Autorisation cantonale spéciale (art. 24 LAT)</t>
        </is>
      </c>
    </row>
    <row r="17">
      <c r="A17" s="3" t="inlineStr">
        <is>
          <t>Délai d'enquête publique : 30 jours (4,3 semaines) au minimum, puis examen des oppositions. Lausanne : demande de travaux analysée sous 30 jours, émolument de 150 CHF depuis le 1.11.2025. Autres délais : non fixés uniformément.</t>
        </is>
      </c>
    </row>
    <row r="19">
      <c r="A19" s="3" t="inlineStr">
        <is>
          <t>Vaud (LATC / RLATC — Portail CAMAC) : CAMAC</t>
        </is>
      </c>
      <c r="B19" s="3" t="inlineStr">
        <is>
          <t>Vaud : une pompe à chaleur air/eau ou air/air dans un bâtiment existant est dispensée d'autorisation avec annonce à la commune et attestation de respect des exigences de bruit (art. 68c RLATC). Les objets de l'art. 68a RLATC (ex. pergolas non couvertes jusqu'à 12 m²) sont à annoncer à la commune.</t>
        </is>
      </c>
    </row>
    <row r="20">
      <c r="A20" s="3" t="inlineStr">
        <is>
          <t>Genève (LCI — Procédure APA / DD) : SAD (autorisation en procédure accélérée APA ou demande définitive DD)</t>
        </is>
      </c>
      <c r="B20" s="3" t="inlineStr">
        <is>
          <t>Genève : les constructions de très peu d'importance ne sont pas soumises à autorisation en zone à bâtir (art. 1 al. 3 et 4 LCI), mais un abri de jardin est en principe soumis à autorisation ; l'APA (art. 3 LCI) peut s'appliquer aux travaux de moindre importance.</t>
        </is>
      </c>
    </row>
    <row r="21">
      <c r="A21" s="3" t="inlineStr">
        <is>
          <t>Valais (LC / OC — eConstruction communale ou CCC) : eConstruction (commune) ou CCC (Commission cantonale des constructions)</t>
        </is>
      </c>
      <c r="B21" s="3" t="inlineStr">
        <is>
          <t>Valais : les petites constructions annexes en zone à bâtir ne sont en général pas soumises à autorisation, sous réserve du règlement communal (OC art. 16 à 20) ; le seuil exact dépend de la commune.</t>
        </is>
      </c>
    </row>
    <row r="22">
      <c r="A22" s="3" t="inlineStr">
        <is>
          <t>Fribourg (LATeC / ReLATeC — FRIAC) : FRIAC</t>
        </is>
      </c>
      <c r="B22" s="3" t="inlineStr">
        <is>
          <t>Fribourg : toute demande passe par FRIAC ; la procédure simplifiée est définie à l'art. 85 ReLATeC ; dépendances jusqu'à 6 m² et 2,50 m de hauteur et pergolas jusqu'à 12 m² dispensées (document cantonal de modification du ReLATeC, à confirmer dans le texte en vigueur).</t>
        </is>
      </c>
    </row>
    <row r="23">
      <c r="A23" s="3" t="inlineStr">
        <is>
          <t>Neuchâtel (LConstr — SATAC) : SATAC</t>
        </is>
      </c>
      <c r="B23" s="3" t="inlineStr">
        <is>
          <t>Neuchâtel : procédure par le portail SATAC (indiqué par le cahier) ; aucune règle de dispense n'a été vérifiée.</t>
        </is>
      </c>
    </row>
    <row r="24">
      <c r="A24" s="3" t="inlineStr">
        <is>
          <t>Jura / Berne : Portail cantonal ou guichet communal (à confirmer auprès de la commune)</t>
        </is>
      </c>
      <c r="B24" s="3" t="inlineStr">
        <is>
          <t>Jura et Berne : aucune règle n'est fournie par le cahier ; renseignez-vous auprès de la commune et du service cantonal.</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D26"/>
  <sheetViews>
    <sheetView showGridLines="0" workbookViewId="0">
      <selection activeCell="A1" sqref="A1"/>
    </sheetView>
  </sheetViews>
  <sheetFormatPr baseColWidth="8" defaultRowHeight="15"/>
  <cols>
    <col width="70" customWidth="1" min="1" max="1"/>
    <col width="60" customWidth="1" min="2" max="2"/>
    <col width="40" customWidth="1" min="3" max="3"/>
    <col width="40" customWidth="1" min="4" max="4"/>
  </cols>
  <sheetData>
    <row r="1">
      <c r="A1" s="5" t="inlineStr">
        <is>
          <t>5.12 · Radon (ORaP), protection des eaux souterraines et dangers naturels</t>
        </is>
      </c>
    </row>
    <row r="2">
      <c r="A2" s="6" t="inlineStr">
        <is>
          <t>Tableau de référence. Niveau de référence radon : 300 Bq/m³ (art. 155 al. 2 ORaP) ; mesures préventives des constructions neuves (art. 163 al. 2) ; radier de 20 cm minimum : valeur du cahier, non vérifiée.</t>
        </is>
      </c>
    </row>
    <row r="4">
      <c r="A4" s="3" t="inlineStr">
        <is>
          <t>Niveau de référence radon (Bq/m³)</t>
        </is>
      </c>
      <c r="B4" s="16" t="n">
        <v>300</v>
      </c>
    </row>
    <row r="6">
      <c r="A6" s="3" t="inlineStr">
        <is>
          <t>Mesure radon : radier</t>
        </is>
      </c>
      <c r="B6" s="3" t="inlineStr">
        <is>
          <t>Radier en béton étanche d'au moins 20 cm d'épaisseur et étanchéification soignée des passages de conduites</t>
        </is>
      </c>
    </row>
    <row r="7">
      <c r="A7" s="3" t="inlineStr">
        <is>
          <t>Mesure radon : membrane</t>
        </is>
      </c>
      <c r="B7" s="3" t="inlineStr">
        <is>
          <t>Membrane pare-radon certifiée, posée sans interruption sous le radier et sur les raccords</t>
        </is>
      </c>
    </row>
    <row r="8">
      <c r="A8" s="3" t="inlineStr">
        <is>
          <t>Mesure radon : sds</t>
        </is>
      </c>
      <c r="B8" s="3" t="inlineStr">
        <is>
          <t>Puits ou drain de dépressurisation du sous-sol (SDS), avec possibilité de ventilation active</t>
        </is>
      </c>
    </row>
    <row r="9">
      <c r="A9" s="3" t="inlineStr">
        <is>
          <t>Mesure radon : mesure</t>
        </is>
      </c>
      <c r="B9" s="3" t="inlineStr">
        <is>
          <t>Mesure du radon par un organisme reconnu une fois les locaux occupés (construction neuve ou assainie)</t>
        </is>
      </c>
    </row>
    <row r="10">
      <c r="A10" s="3" t="inlineStr">
        <is>
          <t>Mesure radon : separation</t>
        </is>
      </c>
      <c r="B10" s="3" t="inlineStr">
        <is>
          <t>Séparation étanche entre la cave ou le garage et les locaux habités (porte étanche, trappes et traversées de dalle étanchées)</t>
        </is>
      </c>
    </row>
    <row r="13">
      <c r="A13" s="13" t="inlineStr">
        <is>
          <t>Zone de protection des eaux</t>
        </is>
      </c>
      <c r="B13" s="13" t="inlineStr">
        <is>
          <t>Texte</t>
        </is>
      </c>
      <c r="C13" s="13" t="inlineStr">
        <is>
          <t>Excavation sous la nappe</t>
        </is>
      </c>
      <c r="D13" s="13" t="inlineStr">
        <is>
          <t>Sondes géothermiques</t>
        </is>
      </c>
    </row>
    <row r="14">
      <c r="A14" s="3" t="inlineStr">
        <is>
          <t>Zone S1 (zone de captage)</t>
        </is>
      </c>
      <c r="B14" s="3" t="inlineStr">
        <is>
          <t>Toute construction et tous travaux non liés à l'approvisionnement en eau potable sont strictement interdits.</t>
        </is>
      </c>
      <c r="C14" s="3" t="inlineStr">
        <is>
          <t>Interdite</t>
        </is>
      </c>
      <c r="D14" s="3" t="inlineStr">
        <is>
          <t>Interdite</t>
        </is>
      </c>
    </row>
    <row r="15">
      <c r="A15" s="3" t="inlineStr">
        <is>
          <t>Zone S2 (zone de protection rapprochée)</t>
        </is>
      </c>
      <c r="B15" s="3" t="inlineStr">
        <is>
          <t>Interdiction générale de construire, d'excaver et de forer des sondes géothermiques, sauf dérogation exceptionnelle sans atteinte à la nappe.</t>
        </is>
      </c>
      <c r="C15" s="3" t="inlineStr">
        <is>
          <t>Interdite</t>
        </is>
      </c>
      <c r="D15" s="3" t="inlineStr">
        <is>
          <t>Interdite</t>
        </is>
      </c>
    </row>
    <row r="16">
      <c r="A16" s="3" t="inlineStr">
        <is>
          <t>Zone S3 (zone de protection éloignée)</t>
        </is>
      </c>
      <c r="B16" s="3" t="inlineStr">
        <is>
          <t>Constructions admises sous conditions strictes : interdiction d'infiltrer des eaux usées ou pluviales polluées, interdiction d'excaver sous le niveau piézométrique maximal de la nappe, sondes géothermiques souvent interdites.</t>
        </is>
      </c>
      <c r="C16" s="3" t="inlineStr">
        <is>
          <t>Interdite sous le niveau piézométrique maximal de la nappe</t>
        </is>
      </c>
      <c r="D16" s="3" t="inlineStr">
        <is>
          <t>Souvent interdite</t>
        </is>
      </c>
    </row>
    <row r="17">
      <c r="A17" s="3" t="inlineStr">
        <is>
          <t>Secteur Au de protection des eaux</t>
        </is>
      </c>
      <c r="B17" s="3" t="inlineStr">
        <is>
          <t>Autorisation cantonale requise pour tout ouvrage sous le niveau de la nappe phréatique et pour les sondes géothermiques.</t>
        </is>
      </c>
      <c r="C17" s="3" t="inlineStr">
        <is>
          <t>Autorisation cantonale requise sous le niveau de la nappe</t>
        </is>
      </c>
      <c r="D17" s="3" t="inlineStr">
        <is>
          <t>Autorisation cantonale requise</t>
        </is>
      </c>
    </row>
    <row r="18">
      <c r="A18" s="3" t="inlineStr">
        <is>
          <t>Hors zone de protection des eaux souterraines</t>
        </is>
      </c>
      <c r="B18" s="3" t="inlineStr">
        <is>
          <t>Aucune restriction propre à une zone de protection ; les règles générales de la loi sur la protection des eaux (LEaux) restent applicables.</t>
        </is>
      </c>
      <c r="C18" s="3" t="inlineStr">
        <is>
          <t>Aucune restriction de zone</t>
        </is>
      </c>
      <c r="D18" s="3" t="inlineStr">
        <is>
          <t>Aucune restriction de zone</t>
        </is>
      </c>
    </row>
    <row r="21">
      <c r="A21" s="13" t="inlineStr">
        <is>
          <t>Zone de danger naturel</t>
        </is>
      </c>
      <c r="B21" s="13" t="inlineStr">
        <is>
          <t>Obligation</t>
        </is>
      </c>
    </row>
    <row r="22">
      <c r="A22" s="3" t="inlineStr">
        <is>
          <t>Zone rouge (danger élevé — interdiction)</t>
        </is>
      </c>
      <c r="B22" s="3" t="inlineStr">
        <is>
          <t>Construction nouvelle interdite.</t>
        </is>
      </c>
    </row>
    <row r="23">
      <c r="A23" s="3" t="inlineStr">
        <is>
          <t>Zone bleue (danger moyen — réglementation)</t>
        </is>
      </c>
      <c r="B23" s="3" t="inlineStr">
        <is>
          <t>Construction autorisée uniquement avec des mesures de protection architecturales : par exemple aucune ouverture sous la cote de crue, vitrages blindés, parois renforcées attestées par un ingénieur.</t>
        </is>
      </c>
    </row>
    <row r="24">
      <c r="A24" s="3" t="inlineStr">
        <is>
          <t>Zone jaune (danger faible — sensibilisation)</t>
        </is>
      </c>
      <c r="B24" s="3" t="inlineStr">
        <is>
          <t>Pas d'interdiction : sensibilisation du maître d'ouvrage et mesures de précaution recommandées.</t>
        </is>
      </c>
    </row>
    <row r="25">
      <c r="A25" s="3" t="inlineStr">
        <is>
          <t>Zone jaune-blanc (danger résiduel)</t>
        </is>
      </c>
      <c r="B25" s="3" t="inlineStr">
        <is>
          <t>Événements très rares, mais pouvant être d'intensité élevée : sensibilisation et précautions, sans interdiction.</t>
        </is>
      </c>
    </row>
    <row r="26">
      <c r="A26" s="3" t="inlineStr">
        <is>
          <t>Aucun danger naturel recensé sur la carte</t>
        </is>
      </c>
      <c r="B26" s="3" t="inlineStr">
        <is>
          <t>Aucune contrainte de la carte des dangers ; vérifiez tout de même le ruissellement et les eaux de surface.</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34"/>
  <sheetViews>
    <sheetView showGridLines="0" workbookViewId="0">
      <selection activeCell="A1" sqref="A1"/>
    </sheetView>
  </sheetViews>
  <sheetFormatPr baseColWidth="8" defaultRowHeight="15"/>
  <cols>
    <col width="90" customWidth="1" min="1" max="1"/>
    <col width="20" customWidth="1" min="2" max="2"/>
  </cols>
  <sheetData>
    <row r="1">
      <c r="A1" s="5" t="inlineStr">
        <is>
          <t>5.13 · Subventions du Programme Bâtiments : isolation, chauffage, CECB Plus, reste à charge et déduction fiscale</t>
        </is>
      </c>
    </row>
    <row r="2">
      <c r="A2" s="6" t="inlineStr">
        <is>
          <t>Cellules jaunes = à saisir. Barème vaudois 2026 vérifié (M-01 40 CHF/m², M-05 5'000 CHF dès habitat individuel ou 15 kW, sinon 400 CHF/kW, etc.) ; autres cantons : indicatif. Forfait : de base si habitat individuel ou puissance jusqu'au seuil, sinon montant fixe + montant par kW. Aucune subvention si les travaux ont commencé.</t>
        </is>
      </c>
    </row>
    <row r="4">
      <c r="A4" s="3" t="inlineStr">
        <is>
          <t>Surface de façade isolée (m²)</t>
        </is>
      </c>
      <c r="B4" s="7" t="n">
        <v>140</v>
      </c>
    </row>
    <row r="5">
      <c r="A5" s="3" t="inlineStr">
        <is>
          <t>Surface de toiture ou de combles isolée (m²)</t>
        </is>
      </c>
      <c r="B5" s="7" t="n">
        <v>100</v>
      </c>
    </row>
    <row r="6">
      <c r="A6" s="3" t="inlineStr">
        <is>
          <t>Tarif au m² (CHF)</t>
        </is>
      </c>
      <c r="B6" s="9" t="n">
        <v>40</v>
      </c>
    </row>
    <row r="7">
      <c r="A7" s="3" t="inlineStr">
        <is>
          <t>Puissance du chauffage (kW)</t>
        </is>
      </c>
      <c r="B7" s="8" t="n">
        <v>12</v>
      </c>
    </row>
    <row r="8">
      <c r="A8" s="3" t="inlineStr">
        <is>
          <t>Habitat individuel (1 = oui)</t>
        </is>
      </c>
      <c r="B8" s="7" t="n">
        <v>1</v>
      </c>
    </row>
    <row r="9">
      <c r="A9" s="3" t="inlineStr">
        <is>
          <t>Seuil de puissance du barème (kW)</t>
        </is>
      </c>
      <c r="B9" s="7" t="n">
        <v>15</v>
      </c>
    </row>
    <row r="10">
      <c r="A10" s="3" t="inlineStr">
        <is>
          <t>Forfait de base (CHF)</t>
        </is>
      </c>
      <c r="B10" s="10" t="n">
        <v>5000</v>
      </c>
    </row>
    <row r="11">
      <c r="A11" s="3" t="inlineStr">
        <is>
          <t>Montant fixe au-delà du seuil (CHF)</t>
        </is>
      </c>
      <c r="B11" s="10" t="n">
        <v>0</v>
      </c>
    </row>
    <row r="12">
      <c r="A12" s="3" t="inlineStr">
        <is>
          <t>Montant par kW au-delà du seuil (CHF/kW)</t>
        </is>
      </c>
      <c r="B12" s="10" t="n">
        <v>400</v>
      </c>
    </row>
    <row r="13">
      <c r="A13" s="3" t="inlineStr">
        <is>
          <t>Audit CECB Plus subventionné (1 = oui)</t>
        </is>
      </c>
      <c r="B13" s="7" t="n">
        <v>1</v>
      </c>
    </row>
    <row r="14">
      <c r="A14" s="3" t="inlineStr">
        <is>
          <t>Subvention de l'audit CECB Plus (CHF)</t>
        </is>
      </c>
      <c r="B14" s="10" t="n">
        <v>1250</v>
      </c>
    </row>
    <row r="15">
      <c r="A15" s="3" t="inlineStr">
        <is>
          <t>Bonus de rénovation globale (CHF)</t>
        </is>
      </c>
      <c r="B15" s="10" t="n">
        <v>0</v>
      </c>
    </row>
    <row r="16">
      <c r="A16" s="3" t="inlineStr">
        <is>
          <t>Coût brut des travaux (CHF)</t>
        </is>
      </c>
      <c r="B16" s="10" t="n">
        <v>85000</v>
      </c>
    </row>
    <row r="17">
      <c r="A17" s="3" t="inlineStr">
        <is>
          <t>Taux d'imposition marginal (%)</t>
        </is>
      </c>
      <c r="B17" s="8" t="n">
        <v>25</v>
      </c>
    </row>
    <row r="18">
      <c r="A18" s="3" t="inlineStr">
        <is>
          <t>Travaux déjà commencés (1 = oui)</t>
        </is>
      </c>
      <c r="B18" s="7" t="n">
        <v>0</v>
      </c>
    </row>
    <row r="19">
      <c r="A19" s="3" t="inlineStr">
        <is>
          <t>Seuil du CECB Plus (CHF de subvention)</t>
        </is>
      </c>
      <c r="B19" s="7" t="n">
        <v>10000</v>
      </c>
    </row>
    <row r="21">
      <c r="A21" s="3" t="inlineStr">
        <is>
          <t>Surface isolée (m²)</t>
        </is>
      </c>
      <c r="B21" s="14">
        <f>MAX(0,B4)+MAX(0,B5)</f>
        <v/>
      </c>
    </row>
    <row r="22">
      <c r="A22" s="3" t="inlineStr">
        <is>
          <t>Subvention d'isolation (CHF)</t>
        </is>
      </c>
      <c r="B22" s="11">
        <f>ROUND(B21*MAX(0,B6),2)</f>
        <v/>
      </c>
    </row>
    <row r="23">
      <c r="A23" s="3" t="inlineStr">
        <is>
          <t>Subvention de chauffage (CHF)</t>
        </is>
      </c>
      <c r="B23" s="11">
        <f>ROUND(IF(OR(B8=1,MAX(0,B7)&lt;=B9),B10,B11+B12*MAX(0,B7)),2)</f>
        <v/>
      </c>
    </row>
    <row r="24">
      <c r="A24" s="3" t="inlineStr">
        <is>
          <t>Subvention de l'audit CECB Plus (CHF)</t>
        </is>
      </c>
      <c r="B24" s="11">
        <f>IF(B13=1,ROUND(MAX(0,B14),2),0)</f>
        <v/>
      </c>
    </row>
    <row r="25">
      <c r="A25" s="3" t="inlineStr">
        <is>
          <t>Bonus de rénovation globale (CHF)</t>
        </is>
      </c>
      <c r="B25" s="11">
        <f>ROUND(MAX(0,B15),2)</f>
        <v/>
      </c>
    </row>
    <row r="26">
      <c r="A26" s="3" t="inlineStr">
        <is>
          <t>Subventions des mesures = isolation + chauffage + bonus (CHF)</t>
        </is>
      </c>
      <c r="B26" s="11">
        <f>ROUND(B22+B23+B25,2)</f>
        <v/>
      </c>
    </row>
    <row r="27">
      <c r="A27" s="3" t="inlineStr">
        <is>
          <t>Subventions avant la règle d'antériorité (CHF)</t>
        </is>
      </c>
      <c r="B27" s="11">
        <f>ROUND(B26+B24,2)</f>
        <v/>
      </c>
    </row>
    <row r="28">
      <c r="A28" s="3" t="inlineStr">
        <is>
          <t>Total des subventions estimées (CHF)</t>
        </is>
      </c>
      <c r="B28" s="11">
        <f>IF(B18=1,0,B27)</f>
        <v/>
      </c>
    </row>
    <row r="29">
      <c r="A29" s="3" t="inlineStr">
        <is>
          <t>Reste à charge après subventions = part déductible (CHF)</t>
        </is>
      </c>
      <c r="B29" s="11">
        <f>ROUND(MAX(0,MAX(0,B16)-B28),2)</f>
        <v/>
      </c>
    </row>
    <row r="30">
      <c r="A30" s="3" t="inlineStr">
        <is>
          <t>Économie d'impôt estimée (CHF)</t>
        </is>
      </c>
      <c r="B30" s="11">
        <f>ROUND(B29*MIN(100,MAX(0,B17))/100,2)</f>
        <v/>
      </c>
    </row>
    <row r="31">
      <c r="A31" s="3" t="inlineStr">
        <is>
          <t>Reste à charge net (CHF)</t>
        </is>
      </c>
      <c r="B31" s="11">
        <f>ROUND(B29-B30,2)</f>
        <v/>
      </c>
    </row>
    <row r="32">
      <c r="A32" s="3" t="inlineStr">
        <is>
          <t>CECB Plus obligatoire (1 = oui)</t>
        </is>
      </c>
      <c r="B32" s="16">
        <f>IF(B26&gt;=B19,1,0)</f>
        <v/>
      </c>
    </row>
    <row r="34">
      <c r="A34" s="3" t="inlineStr">
        <is>
          <t>Barème de chaque canton (M-01 CHF/m² ; forfaits PAC air/eau, PAC sol/eau, bois, chauffage à distance : forfait de base / seuil kW / montant fixe / CHF par kW) : Vaud : 40 ; 5000/15/0/400 ; 20000/20/4000/800 ; 8500/20/4500/200 ; 6000/20/4800/60 ; Genève : 70 ; 7500/9999/7500/0 ; 11500/9999/11500/0 ; 8500/20/4500/200 ; 6000/20/4800/60 ; Valais : 70 ; 7500/9999/7500/0 ; 11500/9999/11500/0 ; 8500/20/4500/200 ; 6000/20/4800/60 ; Fribourg : 60 ; 7500/9999/7500/0 ; 11500/9999/11500/0 ; 8500/20/4500/200 ; 6000/20/4800/60 ; Neuchâtel : 70 ; 7500/9999/7500/0 ; 11500/9999/11500/0 ; 8500/20/4500/200 ; 6000/20/4800/60 ; Jura : 70 ; 7500/9999/7500/0 ; 11500/9999/11500/0 ; 8500/20/4500/200 ; 6000/20/4800/60 ; Berne : 70 ; 7500/9999/7500/0 ; 11500/9999/11500/0 ; 8500/20/4500/200 ; 6000/20/4800/60</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28"/>
  <sheetViews>
    <sheetView showGridLines="0" workbookViewId="0">
      <selection activeCell="A1" sqref="A1"/>
    </sheetView>
  </sheetViews>
  <sheetFormatPr baseColWidth="8" defaultRowHeight="15"/>
  <cols>
    <col width="90" customWidth="1" min="1" max="1"/>
    <col width="20" customWidth="1" min="2" max="2"/>
  </cols>
  <sheetData>
    <row r="1">
      <c r="A1" s="5" t="inlineStr">
        <is>
          <t>5.14 · Frais d'occupation du domaine public : emprise, places de parc, émolument</t>
        </is>
      </c>
    </row>
    <row r="2">
      <c r="A2" s="6" t="inlineStr">
        <is>
          <t>Cellules jaunes = à saisir. Tarifs : hypothèse de l'outil dans la fourchette de la Ville de Genève (3 à 5 CHF/m²/semaine, plafond de 20 CHF/m²/mois) ; à remplacer par le règlement communal. Emprise = surface × tarif / 7 × jours ; une place = 12,5 m² au même tarif.</t>
        </is>
      </c>
    </row>
    <row r="4">
      <c r="A4" s="3" t="inlineStr">
        <is>
          <t>Surface occupée (m²)</t>
        </is>
      </c>
      <c r="B4" s="8" t="n">
        <v>22.5</v>
      </c>
    </row>
    <row r="5">
      <c r="A5" s="3" t="inlineStr">
        <is>
          <t>Durée d'occupation (jours)</t>
        </is>
      </c>
      <c r="B5" s="7" t="n">
        <v>30</v>
      </c>
    </row>
    <row r="6">
      <c r="A6" s="3" t="inlineStr">
        <is>
          <t>Tarif par m² et par semaine (CHF)</t>
        </is>
      </c>
      <c r="B6" s="9" t="n">
        <v>5</v>
      </c>
    </row>
    <row r="7">
      <c r="A7" s="3" t="inlineStr">
        <is>
          <t>Plafond mensuel par m² (CHF, 0 = aucun)</t>
        </is>
      </c>
      <c r="B7" s="9" t="n">
        <v>20</v>
      </c>
    </row>
    <row r="8">
      <c r="A8" s="3" t="inlineStr">
        <is>
          <t>Seuil de dégressivité (jours, 0 = aucune)</t>
        </is>
      </c>
      <c r="B8" s="7" t="n">
        <v>0</v>
      </c>
    </row>
    <row r="9">
      <c r="A9" s="3" t="inlineStr">
        <is>
          <t>Réduction après le seuil (%)</t>
        </is>
      </c>
      <c r="B9" s="7" t="n">
        <v>0</v>
      </c>
    </row>
    <row r="10">
      <c r="A10" s="3" t="inlineStr">
        <is>
          <t>Places de parc neutralisées</t>
        </is>
      </c>
      <c r="B10" s="7" t="n">
        <v>2</v>
      </c>
    </row>
    <row r="11">
      <c r="A11" s="3" t="inlineStr">
        <is>
          <t>Tarif d'une place par jour (CHF)</t>
        </is>
      </c>
      <c r="B11" s="9" t="n">
        <v>8.93</v>
      </c>
    </row>
    <row r="12">
      <c r="A12" s="3" t="inlineStr">
        <is>
          <t>Émolument fixe (CHF)</t>
        </is>
      </c>
      <c r="B12" s="10" t="n">
        <v>150</v>
      </c>
    </row>
    <row r="14">
      <c r="A14" s="3" t="inlineStr">
        <is>
          <t>Jours retenus</t>
        </is>
      </c>
      <c r="B14" s="16">
        <f>ROUND(MAX(0,B5),0)</f>
        <v/>
      </c>
    </row>
    <row r="15">
      <c r="A15" s="3" t="inlineStr">
        <is>
          <t>Tarif par m² et par jour = tarif / 7 (CHF)</t>
        </is>
      </c>
      <c r="B15" s="17">
        <f>B6/7</f>
        <v/>
      </c>
    </row>
    <row r="16">
      <c r="A16" s="3" t="inlineStr">
        <is>
          <t>Jours au tarif plein</t>
        </is>
      </c>
      <c r="B16" s="16">
        <f>IF(B8&gt;0,MIN(B14,B8),B14)</f>
        <v/>
      </c>
    </row>
    <row r="17">
      <c r="A17" s="3" t="inlineStr">
        <is>
          <t>Taxe d'emprise avant plafond (CHF)</t>
        </is>
      </c>
      <c r="B17" s="11">
        <f>MAX(0,B4)*B15*(B16+(B14-B16)*(1-MIN(100,MAX(0,B9))/100))</f>
        <v/>
      </c>
    </row>
    <row r="18">
      <c r="A18" s="3" t="inlineStr">
        <is>
          <t>Plafond mensuel proratisé (CHF)</t>
        </is>
      </c>
      <c r="B18" s="11">
        <f>IF(B7&gt;0,MAX(0,B4)*B7*B14/30,0)</f>
        <v/>
      </c>
    </row>
    <row r="19">
      <c r="A19" s="3" t="inlineStr">
        <is>
          <t>Plafond appliqué (1 = oui)</t>
        </is>
      </c>
      <c r="B19" s="16">
        <f>IF(AND(B7&gt;0,B17&gt;B18),1,0)</f>
        <v/>
      </c>
    </row>
    <row r="20">
      <c r="A20" s="3" t="inlineStr">
        <is>
          <t>Taxe d'emprise retenue (CHF)</t>
        </is>
      </c>
      <c r="B20" s="11">
        <f>ROUND(IF(B19=1,B18,B17),2)</f>
        <v/>
      </c>
    </row>
    <row r="21">
      <c r="A21" s="3" t="inlineStr">
        <is>
          <t>Taxe de neutralisation des places (CHF)</t>
        </is>
      </c>
      <c r="B21" s="11">
        <f>ROUND(ROUND(MAX(0,B10),0)*B14*MAX(0,B11),2)</f>
        <v/>
      </c>
    </row>
    <row r="22">
      <c r="A22" s="3" t="inlineStr">
        <is>
          <t>Émolument et signalisation (CHF)</t>
        </is>
      </c>
      <c r="B22" s="11">
        <f>ROUND(MAX(0,B12),2)</f>
        <v/>
      </c>
    </row>
    <row r="23">
      <c r="A23" s="3" t="inlineStr">
        <is>
          <t>Budget total à refacturer (CHF)</t>
        </is>
      </c>
      <c r="B23" s="11">
        <f>ROUND(B20+B21+B22,2)</f>
        <v/>
      </c>
    </row>
    <row r="24">
      <c r="A24" s="3" t="inlineStr">
        <is>
          <t>Coût moyen par jour (CHF)</t>
        </is>
      </c>
      <c r="B24" s="11">
        <f>IF(B14&gt;0,ROUND(B23/MAX(B14,1),2),"")</f>
        <v/>
      </c>
    </row>
    <row r="25">
      <c r="A25" s="3" t="inlineStr">
        <is>
          <t>Taxe d'emprise avant plafond, arrondie (CHF)</t>
        </is>
      </c>
      <c r="B25" s="11">
        <f>ROUND(B17,2)</f>
        <v/>
      </c>
    </row>
    <row r="26">
      <c r="A26" s="3" t="inlineStr">
        <is>
          <t>Tarif par m² et par jour, arrondi (CHF)</t>
        </is>
      </c>
      <c r="B26" s="17">
        <f>ROUND(B15,4)</f>
        <v/>
      </c>
    </row>
    <row r="28">
      <c r="A28" s="3" t="inlineStr">
        <is>
          <t>Profils : Grande ville / Centre urbain dense (ex. Genève, Lausanne, Zurich : tarif élevé) : 5.0 CHF/m²/semaine, plafond 20.0, place 8.93 CHF/jour ; Ville moyenne / Chef-lieu cantonal (ex. Sion, Fribourg, Neuchâtel, Montreux, Yverdon) : 4.0 CHF/m²/semaine, plafond 0.0, place 7.14 CHF/jour ; Commune périphérique / Village (tarif modéré) : 3.0 CHF/m²/semaine, plafond 0.0, place 5.36 CHF/jour. Passage libre pour les piétons : 1,20 à 1,50 m ; demande 10 à 15 jours ouvrables avant la pose.</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95"/>
  <sheetViews>
    <sheetView showGridLines="0" workbookViewId="0">
      <selection activeCell="A1" sqref="A1"/>
    </sheetView>
  </sheetViews>
  <sheetFormatPr baseColWidth="8" defaultRowHeight="15"/>
  <cols>
    <col width="70" customWidth="1" min="1" max="1"/>
    <col width="20" customWidth="1" min="2" max="2"/>
    <col width="30" customWidth="1" min="3" max="3"/>
  </cols>
  <sheetData>
    <row r="1">
      <c r="A1" s="5" t="inlineStr">
        <is>
          <t>5.15 · Comparateur géographique des prix de la construction (base ACIP du Pilier 2)</t>
        </is>
      </c>
    </row>
    <row r="2">
      <c r="A2" s="6" t="inlineStr">
        <is>
          <t>Cellules jaunes = à saisir. Indice = 100 + pourcentage ACIP par rapport à la moyenne suisse ; montant ajusté = montant × indice du chantier / indice de départ. Les pourcentages des 26 cantons et 51 localités sont dans le tableau ci-dessous.</t>
        </is>
      </c>
    </row>
    <row r="4">
      <c r="A4" s="3" t="inlineStr">
        <is>
          <t>Montant du devis de référence (CHF HT)</t>
        </is>
      </c>
      <c r="B4" s="10" t="n">
        <v>100000</v>
      </c>
    </row>
    <row r="5">
      <c r="A5" s="3" t="inlineStr">
        <is>
          <t>Pourcentage du lieu de départ (%)</t>
        </is>
      </c>
      <c r="B5" s="8" t="n">
        <v>0</v>
      </c>
    </row>
    <row r="6">
      <c r="A6" s="3" t="inlineStr">
        <is>
          <t>Pourcentage du lieu du chantier (%)</t>
        </is>
      </c>
      <c r="B6" s="8" t="n">
        <v>12</v>
      </c>
    </row>
    <row r="7">
      <c r="A7" s="3" t="inlineStr">
        <is>
          <t>Part de main-d'œuvre (%)</t>
        </is>
      </c>
      <c r="B7" s="7" t="n">
        <v>55</v>
      </c>
    </row>
    <row r="9">
      <c r="A9" s="3" t="inlineStr">
        <is>
          <t>Indice du lieu de départ</t>
        </is>
      </c>
      <c r="B9" s="14">
        <f>100+B5</f>
        <v/>
      </c>
    </row>
    <row r="10">
      <c r="A10" s="3" t="inlineStr">
        <is>
          <t>Indice du lieu du chantier</t>
        </is>
      </c>
      <c r="B10" s="14">
        <f>100+B6</f>
        <v/>
      </c>
    </row>
    <row r="11">
      <c r="A11" s="3" t="inlineStr">
        <is>
          <t>Montant ajusté (CHF)</t>
        </is>
      </c>
      <c r="B11" s="11">
        <f>ROUND(MAX(0,B4)*B10/B9,2)</f>
        <v/>
      </c>
    </row>
    <row r="12">
      <c r="A12" s="3" t="inlineStr">
        <is>
          <t>Écart (CHF)</t>
        </is>
      </c>
      <c r="B12" s="11">
        <f>ROUND(B11-MAX(0,B4),2)</f>
        <v/>
      </c>
    </row>
    <row r="13">
      <c r="A13" s="3" t="inlineStr">
        <is>
          <t>Écart (%)</t>
        </is>
      </c>
      <c r="B13" s="15">
        <f>ROUND((B10/B9-1)*100,2)</f>
        <v/>
      </c>
    </row>
    <row r="14">
      <c r="A14" s="3" t="inlineStr">
        <is>
          <t>dont main-d'œuvre (CHF)</t>
        </is>
      </c>
      <c r="B14" s="11">
        <f>ROUND(B11*MIN(100,MAX(0,B7))/100,2)</f>
        <v/>
      </c>
    </row>
    <row r="15">
      <c r="A15" s="3" t="inlineStr">
        <is>
          <t>dont matériaux (CHF)</t>
        </is>
      </c>
      <c r="B15" s="11">
        <f>ROUND(B11-B14,2)</f>
        <v/>
      </c>
    </row>
    <row r="17">
      <c r="A17" s="13" t="inlineStr">
        <is>
          <t>Lieu</t>
        </is>
      </c>
      <c r="B17" s="13" t="inlineStr">
        <is>
          <t>Pourcentage ACIP (%)</t>
        </is>
      </c>
      <c r="C17" s="13" t="inlineStr">
        <is>
          <t>Canton</t>
        </is>
      </c>
    </row>
    <row r="18">
      <c r="A18" s="3" t="inlineStr">
        <is>
          <t>Moyenne suisse</t>
        </is>
      </c>
      <c r="B18" s="14" t="n">
        <v>0</v>
      </c>
      <c r="C18" s="3" t="inlineStr">
        <is>
          <t>Référence</t>
        </is>
      </c>
    </row>
    <row r="19">
      <c r="A19" s="3" t="inlineStr">
        <is>
          <t>Vaud (canton)</t>
        </is>
      </c>
      <c r="B19" s="14" t="n">
        <v>0</v>
      </c>
      <c r="C19" s="3" t="inlineStr">
        <is>
          <t>Vaud</t>
        </is>
      </c>
    </row>
    <row r="20">
      <c r="A20" s="3" t="inlineStr">
        <is>
          <t>Lausanne (VD)</t>
        </is>
      </c>
      <c r="B20" s="14" t="n">
        <v>5</v>
      </c>
      <c r="C20" s="3" t="inlineStr">
        <is>
          <t>Vaud</t>
        </is>
      </c>
    </row>
    <row r="21">
      <c r="A21" s="3" t="inlineStr">
        <is>
          <t>Nyon / Morges (VD)</t>
        </is>
      </c>
      <c r="B21" s="14" t="n">
        <v>5</v>
      </c>
      <c r="C21" s="3" t="inlineStr">
        <is>
          <t>Vaud</t>
        </is>
      </c>
    </row>
    <row r="22">
      <c r="A22" s="3" t="inlineStr">
        <is>
          <t>Montreux / Vevey (VD)</t>
        </is>
      </c>
      <c r="B22" s="14" t="n">
        <v>3</v>
      </c>
      <c r="C22" s="3" t="inlineStr">
        <is>
          <t>Vaud</t>
        </is>
      </c>
    </row>
    <row r="23">
      <c r="A23" s="3" t="inlineStr">
        <is>
          <t>Villars (VD)</t>
        </is>
      </c>
      <c r="B23" s="14" t="n">
        <v>10</v>
      </c>
      <c r="C23" s="3" t="inlineStr">
        <is>
          <t>Vaud</t>
        </is>
      </c>
    </row>
    <row r="24">
      <c r="A24" s="3" t="inlineStr">
        <is>
          <t>Genève (canton)</t>
        </is>
      </c>
      <c r="B24" s="14" t="n">
        <v>12</v>
      </c>
      <c r="C24" s="3" t="inlineStr">
        <is>
          <t>Genève</t>
        </is>
      </c>
    </row>
    <row r="25">
      <c r="A25" s="3" t="inlineStr">
        <is>
          <t>Genève-Ville (GE)</t>
        </is>
      </c>
      <c r="B25" s="14" t="n">
        <v>15</v>
      </c>
      <c r="C25" s="3" t="inlineStr">
        <is>
          <t>Genève</t>
        </is>
      </c>
    </row>
    <row r="26">
      <c r="A26" s="3" t="inlineStr">
        <is>
          <t>Carouge / Lancy (GE)</t>
        </is>
      </c>
      <c r="B26" s="14" t="n">
        <v>12</v>
      </c>
      <c r="C26" s="3" t="inlineStr">
        <is>
          <t>Genève</t>
        </is>
      </c>
    </row>
    <row r="27">
      <c r="A27" s="3" t="inlineStr">
        <is>
          <t>Cologny (GE)</t>
        </is>
      </c>
      <c r="B27" s="14" t="n">
        <v>18</v>
      </c>
      <c r="C27" s="3" t="inlineStr">
        <is>
          <t>Genève</t>
        </is>
      </c>
    </row>
    <row r="28">
      <c r="A28" s="3" t="inlineStr">
        <is>
          <t>Valais (canton)</t>
        </is>
      </c>
      <c r="B28" s="14" t="n">
        <v>-5</v>
      </c>
      <c r="C28" s="3" t="inlineStr">
        <is>
          <t>Valais</t>
        </is>
      </c>
    </row>
    <row r="29">
      <c r="A29" s="3" t="inlineStr">
        <is>
          <t>Sion / Sierre / Martigny (VS)</t>
        </is>
      </c>
      <c r="B29" s="14" t="n">
        <v>-5</v>
      </c>
      <c r="C29" s="3" t="inlineStr">
        <is>
          <t>Valais</t>
        </is>
      </c>
    </row>
    <row r="30">
      <c r="A30" s="3" t="inlineStr">
        <is>
          <t>Crans-Montana (VS)</t>
        </is>
      </c>
      <c r="B30" s="14" t="n">
        <v>12</v>
      </c>
      <c r="C30" s="3" t="inlineStr">
        <is>
          <t>Valais</t>
        </is>
      </c>
    </row>
    <row r="31">
      <c r="A31" s="3" t="inlineStr">
        <is>
          <t>Verbier (VS)</t>
        </is>
      </c>
      <c r="B31" s="14" t="n">
        <v>18</v>
      </c>
      <c r="C31" s="3" t="inlineStr">
        <is>
          <t>Valais</t>
        </is>
      </c>
    </row>
    <row r="32">
      <c r="A32" s="3" t="inlineStr">
        <is>
          <t>Zermatt (VS)</t>
        </is>
      </c>
      <c r="B32" s="14" t="n">
        <v>25</v>
      </c>
      <c r="C32" s="3" t="inlineStr">
        <is>
          <t>Valais</t>
        </is>
      </c>
    </row>
    <row r="33">
      <c r="A33" s="3" t="inlineStr">
        <is>
          <t>Fribourg (canton)</t>
        </is>
      </c>
      <c r="B33" s="14" t="n">
        <v>-2</v>
      </c>
      <c r="C33" s="3" t="inlineStr">
        <is>
          <t>Fribourg</t>
        </is>
      </c>
    </row>
    <row r="34">
      <c r="A34" s="3" t="inlineStr">
        <is>
          <t>Fribourg-Ville (FR)</t>
        </is>
      </c>
      <c r="B34" s="14" t="n">
        <v>0</v>
      </c>
      <c r="C34" s="3" t="inlineStr">
        <is>
          <t>Fribourg</t>
        </is>
      </c>
    </row>
    <row r="35">
      <c r="A35" s="3" t="inlineStr">
        <is>
          <t>Bulle (FR)</t>
        </is>
      </c>
      <c r="B35" s="14" t="n">
        <v>0</v>
      </c>
      <c r="C35" s="3" t="inlineStr">
        <is>
          <t>Fribourg</t>
        </is>
      </c>
    </row>
    <row r="36">
      <c r="A36" s="3" t="inlineStr">
        <is>
          <t>Morat (FR)</t>
        </is>
      </c>
      <c r="B36" s="14" t="n">
        <v>0</v>
      </c>
      <c r="C36" s="3" t="inlineStr">
        <is>
          <t>Fribourg</t>
        </is>
      </c>
    </row>
    <row r="37">
      <c r="A37" s="3" t="inlineStr">
        <is>
          <t>Neuchâtel (canton)</t>
        </is>
      </c>
      <c r="B37" s="14" t="n">
        <v>-3</v>
      </c>
      <c r="C37" s="3" t="inlineStr">
        <is>
          <t>Neuchâtel</t>
        </is>
      </c>
    </row>
    <row r="38">
      <c r="A38" s="3" t="inlineStr">
        <is>
          <t>Neuchâtel-Ville (NE)</t>
        </is>
      </c>
      <c r="B38" s="14" t="n">
        <v>-2</v>
      </c>
      <c r="C38" s="3" t="inlineStr">
        <is>
          <t>Neuchâtel</t>
        </is>
      </c>
    </row>
    <row r="39">
      <c r="A39" s="3" t="inlineStr">
        <is>
          <t>La Chaux-de-Fonds (NE)</t>
        </is>
      </c>
      <c r="B39" s="14" t="n">
        <v>-4</v>
      </c>
      <c r="C39" s="3" t="inlineStr">
        <is>
          <t>Neuchâtel</t>
        </is>
      </c>
    </row>
    <row r="40">
      <c r="A40" s="3" t="inlineStr">
        <is>
          <t>Jura (canton)</t>
        </is>
      </c>
      <c r="B40" s="14" t="n">
        <v>-6</v>
      </c>
      <c r="C40" s="3" t="inlineStr">
        <is>
          <t>Jura</t>
        </is>
      </c>
    </row>
    <row r="41">
      <c r="A41" s="3" t="inlineStr">
        <is>
          <t>Delémont (JU)</t>
        </is>
      </c>
      <c r="B41" s="14" t="n">
        <v>-5</v>
      </c>
      <c r="C41" s="3" t="inlineStr">
        <is>
          <t>Jura</t>
        </is>
      </c>
    </row>
    <row r="42">
      <c r="A42" s="3" t="inlineStr">
        <is>
          <t>Porrentruy (JU)</t>
        </is>
      </c>
      <c r="B42" s="14" t="n">
        <v>-6</v>
      </c>
      <c r="C42" s="3" t="inlineStr">
        <is>
          <t>Jura</t>
        </is>
      </c>
    </row>
    <row r="43">
      <c r="A43" s="3" t="inlineStr">
        <is>
          <t>Berne (canton)</t>
        </is>
      </c>
      <c r="B43" s="14" t="n">
        <v>2</v>
      </c>
      <c r="C43" s="3" t="inlineStr">
        <is>
          <t>Berne</t>
        </is>
      </c>
    </row>
    <row r="44">
      <c r="A44" s="3" t="inlineStr">
        <is>
          <t>Berne-Ville (BE)</t>
        </is>
      </c>
      <c r="B44" s="14" t="n">
        <v>5</v>
      </c>
      <c r="C44" s="3" t="inlineStr">
        <is>
          <t>Berne</t>
        </is>
      </c>
    </row>
    <row r="45">
      <c r="A45" s="3" t="inlineStr">
        <is>
          <t>Bienne (BE)</t>
        </is>
      </c>
      <c r="B45" s="14" t="n">
        <v>0</v>
      </c>
      <c r="C45" s="3" t="inlineStr">
        <is>
          <t>Berne</t>
        </is>
      </c>
    </row>
    <row r="46">
      <c r="A46" s="3" t="inlineStr">
        <is>
          <t>Interlaken (BE)</t>
        </is>
      </c>
      <c r="B46" s="14" t="n">
        <v>6</v>
      </c>
      <c r="C46" s="3" t="inlineStr">
        <is>
          <t>Berne</t>
        </is>
      </c>
    </row>
    <row r="47">
      <c r="A47" s="3" t="inlineStr">
        <is>
          <t>Gstaad (BE)</t>
        </is>
      </c>
      <c r="B47" s="14" t="n">
        <v>20</v>
      </c>
      <c r="C47" s="3" t="inlineStr">
        <is>
          <t>Berne</t>
        </is>
      </c>
    </row>
    <row r="48">
      <c r="A48" s="3" t="inlineStr">
        <is>
          <t>Zurich (canton)</t>
        </is>
      </c>
      <c r="B48" s="14" t="n">
        <v>14</v>
      </c>
      <c r="C48" s="3" t="inlineStr">
        <is>
          <t>Zurich</t>
        </is>
      </c>
    </row>
    <row r="49">
      <c r="A49" s="3" t="inlineStr">
        <is>
          <t>Zurich-Ville (ZH)</t>
        </is>
      </c>
      <c r="B49" s="14" t="n">
        <v>18</v>
      </c>
      <c r="C49" s="3" t="inlineStr">
        <is>
          <t>Zurich</t>
        </is>
      </c>
    </row>
    <row r="50">
      <c r="A50" s="3" t="inlineStr">
        <is>
          <t>Winterthour (ZH)</t>
        </is>
      </c>
      <c r="B50" s="14" t="n">
        <v>10</v>
      </c>
      <c r="C50" s="3" t="inlineStr">
        <is>
          <t>Zurich</t>
        </is>
      </c>
    </row>
    <row r="51">
      <c r="A51" s="3" t="inlineStr">
        <is>
          <t>Zoug (canton)</t>
        </is>
      </c>
      <c r="B51" s="14" t="n">
        <v>15</v>
      </c>
      <c r="C51" s="3" t="inlineStr">
        <is>
          <t>Zoug</t>
        </is>
      </c>
    </row>
    <row r="52">
      <c r="A52" s="3" t="inlineStr">
        <is>
          <t>Zoug-Ville (ZG)</t>
        </is>
      </c>
      <c r="B52" s="14" t="n">
        <v>16</v>
      </c>
      <c r="C52" s="3" t="inlineStr">
        <is>
          <t>Zoug</t>
        </is>
      </c>
    </row>
    <row r="53">
      <c r="A53" s="3" t="inlineStr">
        <is>
          <t>Bâle-Ville (canton)</t>
        </is>
      </c>
      <c r="B53" s="14" t="n">
        <v>10</v>
      </c>
      <c r="C53" s="3" t="inlineStr">
        <is>
          <t>Bâle-Ville</t>
        </is>
      </c>
    </row>
    <row r="54">
      <c r="A54" s="3" t="inlineStr">
        <is>
          <t>Bâle (BS)</t>
        </is>
      </c>
      <c r="B54" s="14" t="n">
        <v>10</v>
      </c>
      <c r="C54" s="3" t="inlineStr">
        <is>
          <t>Bâle-Ville</t>
        </is>
      </c>
    </row>
    <row r="55">
      <c r="A55" s="3" t="inlineStr">
        <is>
          <t>Bâle-Campagne (canton)</t>
        </is>
      </c>
      <c r="B55" s="14" t="n">
        <v>6</v>
      </c>
      <c r="C55" s="3" t="inlineStr">
        <is>
          <t>Bâle-Campagne</t>
        </is>
      </c>
    </row>
    <row r="56">
      <c r="A56" s="3" t="inlineStr">
        <is>
          <t>Liestal (BL)</t>
        </is>
      </c>
      <c r="B56" s="14" t="n">
        <v>6</v>
      </c>
      <c r="C56" s="3" t="inlineStr">
        <is>
          <t>Bâle-Campagne</t>
        </is>
      </c>
    </row>
    <row r="57">
      <c r="A57" s="3" t="inlineStr">
        <is>
          <t>Argovie (canton)</t>
        </is>
      </c>
      <c r="B57" s="14" t="n">
        <v>3</v>
      </c>
      <c r="C57" s="3" t="inlineStr">
        <is>
          <t>Argovie</t>
        </is>
      </c>
    </row>
    <row r="58">
      <c r="A58" s="3" t="inlineStr">
        <is>
          <t>Aarau (AG)</t>
        </is>
      </c>
      <c r="B58" s="14" t="n">
        <v>5</v>
      </c>
      <c r="C58" s="3" t="inlineStr">
        <is>
          <t>Argovie</t>
        </is>
      </c>
    </row>
    <row r="59">
      <c r="A59" s="3" t="inlineStr">
        <is>
          <t>Baden (AG)</t>
        </is>
      </c>
      <c r="B59" s="14" t="n">
        <v>5</v>
      </c>
      <c r="C59" s="3" t="inlineStr">
        <is>
          <t>Argovie</t>
        </is>
      </c>
    </row>
    <row r="60">
      <c r="A60" s="3" t="inlineStr">
        <is>
          <t>Soleure (canton)</t>
        </is>
      </c>
      <c r="B60" s="14" t="n">
        <v>1</v>
      </c>
      <c r="C60" s="3" t="inlineStr">
        <is>
          <t>Soleure</t>
        </is>
      </c>
    </row>
    <row r="61">
      <c r="A61" s="3" t="inlineStr">
        <is>
          <t>Soleure (SO)</t>
        </is>
      </c>
      <c r="B61" s="14" t="n">
        <v>2</v>
      </c>
      <c r="C61" s="3" t="inlineStr">
        <is>
          <t>Soleure</t>
        </is>
      </c>
    </row>
    <row r="62">
      <c r="A62" s="3" t="inlineStr">
        <is>
          <t>Olten (SO)</t>
        </is>
      </c>
      <c r="B62" s="14" t="n">
        <v>2</v>
      </c>
      <c r="C62" s="3" t="inlineStr">
        <is>
          <t>Soleure</t>
        </is>
      </c>
    </row>
    <row r="63">
      <c r="A63" s="3" t="inlineStr">
        <is>
          <t>Lucerne (canton)</t>
        </is>
      </c>
      <c r="B63" s="14" t="n">
        <v>4</v>
      </c>
      <c r="C63" s="3" t="inlineStr">
        <is>
          <t>Lucerne</t>
        </is>
      </c>
    </row>
    <row r="64">
      <c r="A64" s="3" t="inlineStr">
        <is>
          <t>Lucerne-Ville (LU)</t>
        </is>
      </c>
      <c r="B64" s="14" t="n">
        <v>6</v>
      </c>
      <c r="C64" s="3" t="inlineStr">
        <is>
          <t>Lucerne</t>
        </is>
      </c>
    </row>
    <row r="65">
      <c r="A65" s="3" t="inlineStr">
        <is>
          <t>Schwytz (canton)</t>
        </is>
      </c>
      <c r="B65" s="14" t="n">
        <v>5</v>
      </c>
      <c r="C65" s="3" t="inlineStr">
        <is>
          <t>Schwytz</t>
        </is>
      </c>
    </row>
    <row r="66">
      <c r="A66" s="3" t="inlineStr">
        <is>
          <t>Freienbach / Pfäffikon (SZ)</t>
        </is>
      </c>
      <c r="B66" s="14" t="n">
        <v>8</v>
      </c>
      <c r="C66" s="3" t="inlineStr">
        <is>
          <t>Schwytz</t>
        </is>
      </c>
    </row>
    <row r="67">
      <c r="A67" s="3" t="inlineStr">
        <is>
          <t>Nidwald (canton)</t>
        </is>
      </c>
      <c r="B67" s="14" t="n">
        <v>3</v>
      </c>
      <c r="C67" s="3" t="inlineStr">
        <is>
          <t>Nidwald</t>
        </is>
      </c>
    </row>
    <row r="68">
      <c r="A68" s="3" t="inlineStr">
        <is>
          <t>Stans (NW)</t>
        </is>
      </c>
      <c r="B68" s="14" t="n">
        <v>3</v>
      </c>
      <c r="C68" s="3" t="inlineStr">
        <is>
          <t>Nidwald</t>
        </is>
      </c>
    </row>
    <row r="69">
      <c r="A69" s="3" t="inlineStr">
        <is>
          <t>Obwald (canton)</t>
        </is>
      </c>
      <c r="B69" s="14" t="n">
        <v>1</v>
      </c>
      <c r="C69" s="3" t="inlineStr">
        <is>
          <t>Obwald</t>
        </is>
      </c>
    </row>
    <row r="70">
      <c r="A70" s="3" t="inlineStr">
        <is>
          <t>Sarnen (OW)</t>
        </is>
      </c>
      <c r="B70" s="14" t="n">
        <v>1</v>
      </c>
      <c r="C70" s="3" t="inlineStr">
        <is>
          <t>Obwald</t>
        </is>
      </c>
    </row>
    <row r="71">
      <c r="A71" s="3" t="inlineStr">
        <is>
          <t>Engelberg (OW)</t>
        </is>
      </c>
      <c r="B71" s="14" t="n">
        <v>10</v>
      </c>
      <c r="C71" s="3" t="inlineStr">
        <is>
          <t>Obwald</t>
        </is>
      </c>
    </row>
    <row r="72">
      <c r="A72" s="3" t="inlineStr">
        <is>
          <t>Uri (canton)</t>
        </is>
      </c>
      <c r="B72" s="14" t="n">
        <v>0</v>
      </c>
      <c r="C72" s="3" t="inlineStr">
        <is>
          <t>Uri</t>
        </is>
      </c>
    </row>
    <row r="73">
      <c r="A73" s="3" t="inlineStr">
        <is>
          <t>Altdorf (UR)</t>
        </is>
      </c>
      <c r="B73" s="14" t="n">
        <v>0</v>
      </c>
      <c r="C73" s="3" t="inlineStr">
        <is>
          <t>Uri</t>
        </is>
      </c>
    </row>
    <row r="74">
      <c r="A74" s="3" t="inlineStr">
        <is>
          <t>Andermatt (UR)</t>
        </is>
      </c>
      <c r="B74" s="14" t="n">
        <v>18</v>
      </c>
      <c r="C74" s="3" t="inlineStr">
        <is>
          <t>Uri</t>
        </is>
      </c>
    </row>
    <row r="75">
      <c r="A75" s="3" t="inlineStr">
        <is>
          <t>Saint-Gall (canton)</t>
        </is>
      </c>
      <c r="B75" s="14" t="n">
        <v>2</v>
      </c>
      <c r="C75" s="3" t="inlineStr">
        <is>
          <t>Saint-Gall</t>
        </is>
      </c>
    </row>
    <row r="76">
      <c r="A76" s="3" t="inlineStr">
        <is>
          <t>Saint-Gall (SG)</t>
        </is>
      </c>
      <c r="B76" s="14" t="n">
        <v>3</v>
      </c>
      <c r="C76" s="3" t="inlineStr">
        <is>
          <t>Saint-Gall</t>
        </is>
      </c>
    </row>
    <row r="77">
      <c r="A77" s="3" t="inlineStr">
        <is>
          <t>Rapperswil (SG)</t>
        </is>
      </c>
      <c r="B77" s="14" t="n">
        <v>6</v>
      </c>
      <c r="C77" s="3" t="inlineStr">
        <is>
          <t>Saint-Gall</t>
        </is>
      </c>
    </row>
    <row r="78">
      <c r="A78" s="3" t="inlineStr">
        <is>
          <t>Thurgovie (canton)</t>
        </is>
      </c>
      <c r="B78" s="14" t="n">
        <v>0</v>
      </c>
      <c r="C78" s="3" t="inlineStr">
        <is>
          <t>Thurgovie</t>
        </is>
      </c>
    </row>
    <row r="79">
      <c r="A79" s="3" t="inlineStr">
        <is>
          <t>Frauenfeld (TG)</t>
        </is>
      </c>
      <c r="B79" s="14" t="n">
        <v>0</v>
      </c>
      <c r="C79" s="3" t="inlineStr">
        <is>
          <t>Thurgovie</t>
        </is>
      </c>
    </row>
    <row r="80">
      <c r="A80" s="3" t="inlineStr">
        <is>
          <t>Kreuzlingen (TG)</t>
        </is>
      </c>
      <c r="B80" s="14" t="n">
        <v>1</v>
      </c>
      <c r="C80" s="3" t="inlineStr">
        <is>
          <t>Thurgovie</t>
        </is>
      </c>
    </row>
    <row r="81">
      <c r="A81" s="3" t="inlineStr">
        <is>
          <t>Schaffhouse (canton)</t>
        </is>
      </c>
      <c r="B81" s="14" t="n">
        <v>2</v>
      </c>
      <c r="C81" s="3" t="inlineStr">
        <is>
          <t>Schaffhouse</t>
        </is>
      </c>
    </row>
    <row r="82">
      <c r="A82" s="3" t="inlineStr">
        <is>
          <t>Schaffhouse (SH)</t>
        </is>
      </c>
      <c r="B82" s="14" t="n">
        <v>3</v>
      </c>
      <c r="C82" s="3" t="inlineStr">
        <is>
          <t>Schaffhouse</t>
        </is>
      </c>
    </row>
    <row r="83">
      <c r="A83" s="3" t="inlineStr">
        <is>
          <t>Appenzell Rh.-Ext. (canton)</t>
        </is>
      </c>
      <c r="B83" s="14" t="n">
        <v>-1</v>
      </c>
      <c r="C83" s="3" t="inlineStr">
        <is>
          <t>Appenzell Rh.-Ext.</t>
        </is>
      </c>
    </row>
    <row r="84">
      <c r="A84" s="3" t="inlineStr">
        <is>
          <t>Herisau (AR)</t>
        </is>
      </c>
      <c r="B84" s="14" t="n">
        <v>-1</v>
      </c>
      <c r="C84" s="3" t="inlineStr">
        <is>
          <t>Appenzell Rh.-Ext.</t>
        </is>
      </c>
    </row>
    <row r="85">
      <c r="A85" s="3" t="inlineStr">
        <is>
          <t>Appenzell Rh.-Int. (canton)</t>
        </is>
      </c>
      <c r="B85" s="14" t="n">
        <v>-2</v>
      </c>
      <c r="C85" s="3" t="inlineStr">
        <is>
          <t>Appenzell Rh.-Int.</t>
        </is>
      </c>
    </row>
    <row r="86">
      <c r="A86" s="3" t="inlineStr">
        <is>
          <t>Appenzell (AI)</t>
        </is>
      </c>
      <c r="B86" s="14" t="n">
        <v>-2</v>
      </c>
      <c r="C86" s="3" t="inlineStr">
        <is>
          <t>Appenzell Rh.-Int.</t>
        </is>
      </c>
    </row>
    <row r="87">
      <c r="A87" s="3" t="inlineStr">
        <is>
          <t>Glaris (canton)</t>
        </is>
      </c>
      <c r="B87" s="14" t="n">
        <v>-1</v>
      </c>
      <c r="C87" s="3" t="inlineStr">
        <is>
          <t>Glaris</t>
        </is>
      </c>
    </row>
    <row r="88">
      <c r="A88" s="3" t="inlineStr">
        <is>
          <t>Glaris (GL)</t>
        </is>
      </c>
      <c r="B88" s="14" t="n">
        <v>-1</v>
      </c>
      <c r="C88" s="3" t="inlineStr">
        <is>
          <t>Glaris</t>
        </is>
      </c>
    </row>
    <row r="89">
      <c r="A89" s="3" t="inlineStr">
        <is>
          <t>Grisons (canton)</t>
        </is>
      </c>
      <c r="B89" s="14" t="n">
        <v>0</v>
      </c>
      <c r="C89" s="3" t="inlineStr">
        <is>
          <t>Grisons</t>
        </is>
      </c>
    </row>
    <row r="90">
      <c r="A90" s="3" t="inlineStr">
        <is>
          <t>Coire (GR)</t>
        </is>
      </c>
      <c r="B90" s="14" t="n">
        <v>0</v>
      </c>
      <c r="C90" s="3" t="inlineStr">
        <is>
          <t>Grisons</t>
        </is>
      </c>
    </row>
    <row r="91">
      <c r="A91" s="3" t="inlineStr">
        <is>
          <t>Saint-Moritz (GR)</t>
        </is>
      </c>
      <c r="B91" s="14" t="n">
        <v>25</v>
      </c>
      <c r="C91" s="3" t="inlineStr">
        <is>
          <t>Grisons</t>
        </is>
      </c>
    </row>
    <row r="92">
      <c r="A92" s="3" t="inlineStr">
        <is>
          <t>Davos / Arosa (GR)</t>
        </is>
      </c>
      <c r="B92" s="14" t="n">
        <v>16</v>
      </c>
      <c r="C92" s="3" t="inlineStr">
        <is>
          <t>Grisons</t>
        </is>
      </c>
    </row>
    <row r="93">
      <c r="A93" s="3" t="inlineStr">
        <is>
          <t>Tessin (canton)</t>
        </is>
      </c>
      <c r="B93" s="14" t="n">
        <v>-7</v>
      </c>
      <c r="C93" s="3" t="inlineStr">
        <is>
          <t>Tessin</t>
        </is>
      </c>
    </row>
    <row r="94">
      <c r="A94" s="3" t="inlineStr">
        <is>
          <t>Lugano / Ascona (TI)</t>
        </is>
      </c>
      <c r="B94" s="14" t="n">
        <v>-2</v>
      </c>
      <c r="C94" s="3" t="inlineStr">
        <is>
          <t>Tessin</t>
        </is>
      </c>
    </row>
    <row r="95">
      <c r="A95" s="3" t="inlineStr">
        <is>
          <t>Bellinzone / Mendrisio (TI)</t>
        </is>
      </c>
      <c r="B95" s="14" t="n">
        <v>-7</v>
      </c>
      <c r="C95" s="3" t="inlineStr">
        <is>
          <t>Tessin</t>
        </is>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27"/>
  <sheetViews>
    <sheetView showGridLines="0" workbookViewId="0">
      <selection activeCell="A1" sqref="A1"/>
    </sheetView>
  </sheetViews>
  <sheetFormatPr baseColWidth="8" defaultRowHeight="15"/>
  <cols>
    <col width="50" customWidth="1" min="1" max="1"/>
    <col width="24" customWidth="1" min="2" max="2"/>
    <col width="140" customWidth="1" min="3" max="3"/>
  </cols>
  <sheetData>
    <row r="1">
      <c r="A1" s="5" t="inlineStr">
        <is>
          <t>5.16 · Plan de sécurité chantier : risques, articles de l'OTConst et mesures</t>
        </is>
      </c>
    </row>
    <row r="2">
      <c r="A2" s="6" t="inlineStr">
        <is>
          <t>OTConst (RS 832.311.141, état au 1.1.2024) : art. 4 (plan écrit avant le début des travaux), 22-23 (garde-corps dès 2 m), 26 (échafaudage dès 3 m), 41 (toits dès 2 m), 57 al. 3 (30 cm), 31 al. 2 (DDR 30 mA). Fouilles de plus de 1,50 m non étayées : talutage (art. 68 al. 2).</t>
        </is>
      </c>
    </row>
    <row r="4">
      <c r="A4" s="13" t="inlineStr">
        <is>
          <t>Risque</t>
        </is>
      </c>
      <c r="B4" s="13" t="inlineStr">
        <is>
          <t>Articles</t>
        </is>
      </c>
      <c r="C4" s="13" t="inlineStr">
        <is>
          <t>Mesure</t>
        </is>
      </c>
    </row>
    <row r="5">
      <c r="A5" s="3" t="inlineStr">
        <is>
          <t>Travaux en hauteur / Bord de dalle / Ouvertures</t>
        </is>
      </c>
      <c r="B5" s="3" t="inlineStr">
        <is>
          <t>Art. 22 à 26 OTConst</t>
        </is>
      </c>
      <c r="C5" s="3" t="inlineStr">
        <is>
          <t>Garde-corps périphérique complet (lisse haute à 100 cm au moins, au moins une lisse intermédiaire, plinthe de 15 cm au moins) dès une hauteur de chute de plus de 2,00 m (art. 22 et 23).</t>
        </is>
      </c>
    </row>
    <row r="6">
      <c r="A6" s="3" t="inlineStr">
        <is>
          <t>Travaux en hauteur / Bord de dalle / Ouvertures</t>
        </is>
      </c>
      <c r="B6" s="3" t="inlineStr">
        <is>
          <t>Art. 22 à 26 OTConst</t>
        </is>
      </c>
      <c r="C6" s="3" t="inlineStr">
        <is>
          <t>Écartement de 47 cm au plus entre la lisse haute, la lisse intermédiaire et la plinthe (art. 22 al. 4).</t>
        </is>
      </c>
    </row>
    <row r="7">
      <c r="A7" s="3" t="inlineStr">
        <is>
          <t>Travaux en hauteur / Bord de dalle / Ouvertures</t>
        </is>
      </c>
      <c r="B7" s="3" t="inlineStr">
        <is>
          <t>Art. 22 à 26 OTConst</t>
        </is>
      </c>
      <c r="C7" s="3" t="inlineStr">
        <is>
          <t>À l'intérieur des bâtiments, garde-corps dès une différence de niveau de plus de 50 cm (art. 24) ; ouvertures dans les sols couvertes ou protégées (art. 25).</t>
        </is>
      </c>
    </row>
    <row r="8">
      <c r="A8" s="3" t="inlineStr">
        <is>
          <t>Travaux en hauteur / Bord de dalle / Ouvertures</t>
        </is>
      </c>
      <c r="B8" s="3" t="inlineStr">
        <is>
          <t>Art. 22 à 26 OTConst</t>
        </is>
      </c>
      <c r="C8" s="3" t="inlineStr">
        <is>
          <t>Échafaudage de façade dès une hauteur de chute de plus de 3,00 m dans les travaux de construction de bâtiments (art. 26).</t>
        </is>
      </c>
    </row>
    <row r="9">
      <c r="A9" s="3" t="inlineStr">
        <is>
          <t>Travaux en toiture / Bord de toit</t>
        </is>
      </c>
      <c r="B9" s="3" t="inlineStr">
        <is>
          <t>Art. 41 à 46 OTConst</t>
        </is>
      </c>
      <c r="C9" s="3" t="inlineStr">
        <is>
          <t>Mesures au bord de tous les toits dès une hauteur de chute de plus de 2,00 m (art. 41 al. 1) : pente de moins de 10° : pont de ferblantier ou garde-corps continu ; de 10° à 30° : pont de ferblantier ; de 30° à 45° : pont de ferblantier avec paroi de protection ; de 45° à 60° : mesures supplémentaires ; au-delà de 60° : échafaudage ou plate-forme élévatrice.</t>
        </is>
      </c>
    </row>
    <row r="10">
      <c r="A10" s="3" t="inlineStr">
        <is>
          <t>Travaux en toiture / Bord de toit</t>
        </is>
      </c>
      <c r="B10" s="3" t="inlineStr">
        <is>
          <t>Art. 41 à 46 OTConst</t>
        </is>
      </c>
      <c r="C10" s="3" t="inlineStr">
        <is>
          <t>Distance entre le platelage du pont de ferblantier et la façade de 30 cm au plus, sinon mesures contre les chutes (art. 43).</t>
        </is>
      </c>
    </row>
    <row r="11">
      <c r="A11" s="3" t="inlineStr">
        <is>
          <t>Travaux en toiture / Bord de toit</t>
        </is>
      </c>
      <c r="B11" s="3" t="inlineStr">
        <is>
          <t>Art. 41 à 46 OTConst</t>
        </is>
      </c>
      <c r="C11" s="3" t="inlineStr">
        <is>
          <t>Ouvertures dans la toiture protégées quelle que soit la hauteur de chute (art. 44 al. 3) ; toiture non résistante à la rupture : passerelles, ou filets de sécurité et échafaudages de retenue dès 3,00 m (art. 45).</t>
        </is>
      </c>
    </row>
    <row r="12">
      <c r="A12" s="3" t="inlineStr">
        <is>
          <t>Fouilles, tranchées et terrassements</t>
        </is>
      </c>
      <c r="B12" s="3" t="inlineStr">
        <is>
          <t>Art. 68 à 80 OTConst</t>
        </is>
      </c>
      <c r="C12" s="3" t="inlineStr">
        <is>
          <t>Fouilles, puits et terrassements de plus de 1,50 m de profondeur : s'ils ne sont pas étayés ou blindés, ils doivent être talutés selon la résistance du terrain (art. 75) ou assurés par d'autres mesures adéquates (art. 68 al. 2) ; blindage et étayage dimensionnés selon les art. 77 et 78.</t>
        </is>
      </c>
    </row>
    <row r="13">
      <c r="A13" s="3" t="inlineStr">
        <is>
          <t>Fouilles, tranchées et terrassements</t>
        </is>
      </c>
      <c r="B13" s="3" t="inlineStr">
        <is>
          <t>Art. 68 à 80 OTConst</t>
        </is>
      </c>
      <c r="C13" s="3" t="inlineStr">
        <is>
          <t>Bord de la fouille libre sur 50 cm au moins si la fouille est étayée, sur 1 m au moins si la paroi est talutée (art. 71).</t>
        </is>
      </c>
    </row>
    <row r="14">
      <c r="A14" s="3" t="inlineStr">
        <is>
          <t>Fouilles, tranchées et terrassements</t>
        </is>
      </c>
      <c r="B14" s="3" t="inlineStr">
        <is>
          <t>Art. 68 à 80 OTConst</t>
        </is>
      </c>
      <c r="C14" s="3" t="inlineStr">
        <is>
          <t>Largeur utile de 60 cm au moins dès 1 m de profondeur pour la pose de conduites (art. 69 al. 3) ; accès par escalier (paliers tous les 5 m au plus) ou par échelle jusqu'à 5 m de profondeur (art. 73).</t>
        </is>
      </c>
    </row>
    <row r="15">
      <c r="A15" s="3" t="inlineStr">
        <is>
          <t>Fouilles, tranchées et terrassements</t>
        </is>
      </c>
      <c r="B15" s="3" t="inlineStr">
        <is>
          <t>Art. 68 à 80 OTConst</t>
        </is>
      </c>
      <c r="C15" s="3" t="inlineStr">
        <is>
          <t>Justificatif de sécurité d'un ingénieur ou d'un géotechnicien pour un talus de plus de 4 m ou exposé à des charges ou à des venues d'eau (art. 76) ; étayage dépassant le bord de la fouille de 15 cm au moins (art. 78 al. 5).</t>
        </is>
      </c>
    </row>
    <row r="16">
      <c r="A16" s="3" t="inlineStr">
        <is>
          <t>Échafaudages de façade ou roulants</t>
        </is>
      </c>
      <c r="B16" s="3" t="inlineStr">
        <is>
          <t>Art. 47 à 67 OTConst</t>
        </is>
      </c>
      <c r="C16" s="3" t="inlineStr">
        <is>
          <t>Distance entre le platelage et la façade de 30 cm au plus à chaque phase du travail, sinon mesures complémentaires contre les chutes (art. 57 al. 3).</t>
        </is>
      </c>
    </row>
    <row r="17">
      <c r="A17" s="3" t="inlineStr">
        <is>
          <t>Échafaudages de façade ou roulants</t>
        </is>
      </c>
      <c r="B17" s="3" t="inlineStr">
        <is>
          <t>Art. 47 à 67 OTConst</t>
        </is>
      </c>
      <c r="C17" s="3" t="inlineStr">
        <is>
          <t>Contrôle visuel de l'échafaudage de service chaque jour ; un échafaudage défectueux ne peut pas être utilisé (art. 61).</t>
        </is>
      </c>
    </row>
    <row r="18">
      <c r="A18" s="3" t="inlineStr">
        <is>
          <t>Échafaudages de façade ou roulants</t>
        </is>
      </c>
      <c r="B18" s="3" t="inlineStr">
        <is>
          <t>Art. 47 à 67 OTConst</t>
        </is>
      </c>
      <c r="C18" s="3" t="inlineStr">
        <is>
          <t>Montage et démontage selon les prescriptions du fabricant (art. 60) ; ne jamais retirer un ancrage sans mesure compensatoire (consigne de prudence du cahier, pas une disposition numérotée).</t>
        </is>
      </c>
    </row>
    <row r="19">
      <c r="A19" s="3" t="inlineStr">
        <is>
          <t>Poussières d'amiante (avant 1991), silice cristalline, plomb</t>
        </is>
      </c>
      <c r="B19" s="3" t="inlineStr">
        <is>
          <t>Art. 3, 32 et 82 OTConst</t>
        </is>
      </c>
      <c r="C19" s="3" t="inlineStr">
        <is>
          <t>Si la présence d'amiante ou de PCB est suspectée (repère du cahier : bâtiment construit avant 1991), l'employeur identifie et apprécie les dangers avant les travaux et planifie les mesures nécessaires (art. 3 al. 2 et art. 32).</t>
        </is>
      </c>
    </row>
    <row r="20">
      <c r="A20" s="3" t="inlineStr">
        <is>
          <t>Poussières d'amiante (avant 1991), silice cristalline, plomb</t>
        </is>
      </c>
      <c r="B20" s="3" t="inlineStr">
        <is>
          <t>Art. 3, 32 et 82 OTConst</t>
        </is>
      </c>
      <c r="C20" s="3" t="inlineStr">
        <is>
          <t>Désamiantage important : uniquement par une entreprise de désamiantage reconnue par la Suva (art. 82).</t>
        </is>
      </c>
    </row>
    <row r="21">
      <c r="A21" s="3" t="inlineStr">
        <is>
          <t>Poussières d'amiante (avant 1991), silice cristalline, plomb</t>
        </is>
      </c>
      <c r="B21" s="3" t="inlineStr">
        <is>
          <t>Art. 3, 32 et 82 OTConst</t>
        </is>
      </c>
      <c r="C21" s="3" t="inlineStr">
        <is>
          <t>Mesures du cahier : aspiration à la source (poussières des classes M ou H), masque FFP3, zone confinée et décontamination.</t>
        </is>
      </c>
    </row>
    <row r="22">
      <c r="A22" s="3" t="inlineStr">
        <is>
          <t>Électricité de chantier, machines et équipements de protection</t>
        </is>
      </c>
      <c r="B22" s="3" t="inlineStr">
        <is>
          <t>Art. 6 et 31 OTConst</t>
        </is>
      </c>
      <c r="C22" s="3" t="inlineStr">
        <is>
          <t>Prises de courant jusqu'à 32 A pour appareils mobiles protégées par un disjoncteur à courant de défaut (DDR) de 30 mA au plus (art. 31 al. 2).</t>
        </is>
      </c>
    </row>
    <row r="23">
      <c r="A23" s="3" t="inlineStr">
        <is>
          <t>Électricité de chantier, machines et équipements de protection</t>
        </is>
      </c>
      <c r="B23" s="3" t="inlineStr">
        <is>
          <t>Art. 6 et 31 OTConst</t>
        </is>
      </c>
      <c r="C23" s="3" t="inlineStr">
        <is>
          <t>Casque de protection obligatoire notamment dans les travaux de construction de bâtiments jusqu'à l'achèvement du gros œuvre, près des grues et des engins, dans les fouilles (art. 6).</t>
        </is>
      </c>
    </row>
    <row r="24">
      <c r="A24" s="3" t="inlineStr">
        <is>
          <t>Électricité de chantier, machines et équipements de protection</t>
        </is>
      </c>
      <c r="B24" s="3" t="inlineStr">
        <is>
          <t>Art. 6 et 31 OTConst</t>
        </is>
      </c>
      <c r="C24" s="3" t="inlineStr">
        <is>
          <t>Autres équipements de protection individuelle selon l'évaluation des risques (cahier) : chaussures S3, lunettes, protections auditives, vêtements de haute visibilité.</t>
        </is>
      </c>
    </row>
    <row r="26">
      <c r="A26" s="3" t="inlineStr">
        <is>
          <t>Huit règles vitales de la Suva (bâtiment) : 1. Sécuriser les zones à risque de chute. 2. Sécuriser les ouvertures dans les dalles. 3. Élinguer correctement les charges. 4. Travailler avec un échafaudage de façade. 5. Contrôler les échafaudages. 6. Installer des accès sûrs. 7. Porter les équipements de protection. 8. Sécuriser les fouilles et les terrassements.</t>
        </is>
      </c>
    </row>
    <row r="27">
      <c r="A27" s="3" t="inlineStr">
        <is>
          <t>Numéros d'urgence : 144 Secours ; 118 Pompiers ; 117 Police ; 1414 REGA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2026-11-06T15:39:52Z</dcterms:created>
  <dcterms:modified xsi:type="dcterms:W3CDTF">2026-11-06T15:39:52Z</dcterms:modified>
</cp:coreProperties>
</file>