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À lire" sheetId="1" state="visible" r:id="rId1"/>
    <sheet name="Installations (6.01)" sheetId="2" state="visible" r:id="rId2"/>
    <sheet name="Démolition (6.02)" sheetId="3" state="visible" r:id="rId3"/>
    <sheet name="Terrassement (6.03)" sheetId="4" state="visible" r:id="rId4"/>
    <sheet name="Génie civil (6.04)" sheetId="5" state="visible" r:id="rId5"/>
    <sheet name="Fondations (6.05)" sheetId="6" state="visible" r:id="rId6"/>
    <sheet name="Béton armé (6.06)" sheetId="7" state="visible" r:id="rId7"/>
    <sheet name="Sortes NPK (6.06)" sheetId="8" state="visible" r:id="rId8"/>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000"/>
  </numFmts>
  <fonts count="7">
    <font>
      <name val="Calibri"/>
      <family val="2"/>
      <color theme="1"/>
      <sz val="11"/>
      <scheme val="minor"/>
    </font>
    <font>
      <name val="Calibri"/>
      <b val="1"/>
      <color rgb="001E293B"/>
      <sz val="16"/>
    </font>
    <font>
      <name val="Calibri"/>
      <i val="1"/>
      <color rgb="0064748B"/>
      <sz val="10"/>
    </font>
    <font>
      <name val="Calibri"/>
      <color rgb="001E293B"/>
      <sz val="10"/>
    </font>
    <font>
      <name val="Calibri"/>
      <b val="1"/>
      <color rgb="001E293B"/>
      <sz val="10"/>
    </font>
    <font>
      <name val="Calibri"/>
      <b val="1"/>
      <color rgb="001D4ED8"/>
      <sz val="10"/>
    </font>
    <font>
      <name val="Calibri"/>
      <b val="1"/>
      <color rgb="00FFFFFF"/>
      <sz val="10"/>
    </font>
  </fonts>
  <fills count="5">
    <fill>
      <patternFill/>
    </fill>
    <fill>
      <patternFill patternType="gray125"/>
    </fill>
    <fill>
      <patternFill patternType="solid">
        <fgColor rgb="00FFFBEB"/>
      </patternFill>
    </fill>
    <fill>
      <patternFill patternType="solid">
        <fgColor rgb="00DBEAFE"/>
      </patternFill>
    </fill>
    <fill>
      <patternFill patternType="solid">
        <fgColor rgb="002563EB"/>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2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2" fillId="0" borderId="0" pivotButton="0" quotePrefix="0" xfId="0"/>
    <xf numFmtId="164" fontId="5" fillId="2" borderId="1" pivotButton="0" quotePrefix="0" xfId="0"/>
    <xf numFmtId="1" fontId="5" fillId="2" borderId="1" pivotButton="0" quotePrefix="0" xfId="0"/>
    <xf numFmtId="4" fontId="5" fillId="2" borderId="1" pivotButton="0" quotePrefix="0" xfId="0"/>
    <xf numFmtId="0" fontId="6" fillId="4" borderId="0" applyAlignment="1" pivotButton="0" quotePrefix="0" xfId="0">
      <alignment horizontal="center" vertical="center" wrapText="1"/>
    </xf>
    <xf numFmtId="1" fontId="4" fillId="3" borderId="1" pivotButton="0" quotePrefix="0" xfId="0"/>
    <xf numFmtId="2" fontId="4" fillId="3" borderId="1" pivotButton="0" quotePrefix="0" xfId="0"/>
    <xf numFmtId="4" fontId="4" fillId="3" borderId="1" pivotButton="0" quotePrefix="0" xfId="0"/>
    <xf numFmtId="2" fontId="5" fillId="2" borderId="1" pivotButton="0" quotePrefix="0" xfId="0"/>
    <xf numFmtId="164" fontId="4" fillId="3" borderId="1" pivotButton="0" quotePrefix="0" xfId="0"/>
    <xf numFmtId="165" fontId="5" fillId="2" borderId="1" pivotButton="0" quotePrefix="0" xfId="0"/>
    <xf numFmtId="165" fontId="4" fillId="3" borderId="1" pivotButton="0" quotePrefix="0" xfId="0"/>
    <xf numFmtId="166" fontId="4" fillId="3" borderId="1" pivotButton="0" quotePrefix="0" xfId="0"/>
    <xf numFmtId="2" fontId="3" fillId="0" borderId="0" applyAlignment="1" pivotButton="0" quotePrefix="0" xfId="0">
      <alignment vertical="top" wrapText="1"/>
    </xf>
    <xf numFmtId="1"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showGridLines="0" workbookViewId="0">
      <selection activeCell="A1" sqref="A1"/>
    </sheetView>
  </sheetViews>
  <sheetFormatPr baseColWidth="8" defaultRowHeight="15"/>
  <cols>
    <col width="150" customWidth="1" min="1" max="1"/>
  </cols>
  <sheetData>
    <row r="1">
      <c r="A1" s="1" t="inlineStr">
        <is>
          <t>ACIP 2026 : normes SIA et calculateurs par corps de métier, accordéon A (Pilier 6, chapitres 01 à 06)</t>
        </is>
      </c>
    </row>
    <row r="2">
      <c r="A2" s="2" t="inlineStr">
        <is>
          <t>Art Construction Index de Prix · art-construction.ch/outils/ · classeur de référence des outils 6.01 à 6.06</t>
        </is>
      </c>
    </row>
    <row r="3">
      <c r="A3" s="3" t="inlineStr"/>
    </row>
    <row r="4">
      <c r="A4" s="4" t="inlineStr">
        <is>
          <t>Contenu</t>
        </is>
      </c>
    </row>
    <row r="5">
      <c r="A5" s="3" t="inlineStr">
        <is>
          <t>• Installations de chantier (6.01) : WC et locaux sociaux, chiffrage en 3 postes (mise en place, exploitation mensuelle, repli) et ratio sur le gros œuvre.</t>
        </is>
      </c>
    </row>
    <row r="6">
      <c r="A6" s="3" t="inlineStr">
        <is>
          <t>• Démolition (6.02) : diagnostic des polluants (avant 1991), concept d'élimination (art. 16 OLED, 200 m³), catégorie amiante de l'outil, volumes foisonnés, tonnages et bennes.</t>
        </is>
      </c>
    </row>
    <row r="7">
      <c r="A7" s="3" t="inlineStr">
        <is>
          <t>• Terrassement (6.03) : volume foisonné, masse, voyages de camions, camions en rotation, talus (OTConst art. 68 à 76).</t>
        </is>
      </c>
    </row>
    <row r="8">
      <c r="A8" s="3" t="inlineStr">
        <is>
          <t>• Génie civil (6.04) : tonnage d'enrobés et de grave ; pente, vitesse (Manning), tranchée et volumes de pose d'une canalisation.</t>
        </is>
      </c>
    </row>
    <row r="9">
      <c r="A9" s="3" t="inlineStr">
        <is>
          <t>• Fondations spéciales (6.05) : pieux forés (forage, béton, acier) et paroi clouée (clous, béton projeté, treillis).</t>
        </is>
      </c>
    </row>
    <row r="10">
      <c r="A10" s="3" t="inlineStr">
        <is>
          <t>• Béton armé (6.06) : volume, coffrage et tonnage d'acier B500B ; sortes de béton NPK (tableau SN EN 206 + A2:2021) ; vérification d'une tolérance saisie.</t>
        </is>
      </c>
    </row>
    <row r="11">
      <c r="A11" s="3" t="inlineStr"/>
    </row>
    <row r="12">
      <c r="A12" s="4" t="inlineStr">
        <is>
          <t>Avertissement</t>
        </is>
      </c>
    </row>
    <row r="13">
      <c r="A13" s="3" t="inlineStr">
        <is>
          <t>Les cellules jaunes sont à saisir ; les cellules bleues sont des formules. Les prix unitaires des installations de chantier sont des EXEMPLES. Les ratios sanitaires (OLT 3, non vérifiés), la date de 1991, la classification amiante Vert / Orange / Rouge (classement de l'outil, pas un barème officiel), les densités, foisonnements, compactages et charges utiles, les densités d'enrobé et de grave, la plage de pente de 1,5 % à 5,0 % (les pentes de la SN 592000 ne sont pas intégrées), la couverture hors gel, la surconsommation de béton, le rebond, les ratios d'armature, les enrobages (SIA 262) et les tolérances (SIA 414/2, non intégrées) sont des valeurs du cahier des charges ou à saisir, à vérifier dans les textes en vigueur. Textes lus : OTConst art. 3, 4, 31, 32, 68 à 80 et 82 à 86 ; OLED art. 16 ; tableau officiel des sortes de béton. Information indicative qui ne remplace pas l'avis d'un ingénieur, d'un diagnostiqueur de polluants ou d'un juriste.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3"/>
  <sheetViews>
    <sheetView showGridLines="0" workbookViewId="0">
      <selection activeCell="A1" sqref="A1"/>
    </sheetView>
  </sheetViews>
  <sheetFormatPr baseColWidth="8" defaultRowHeight="15"/>
  <cols>
    <col width="62" customWidth="1" min="1" max="1"/>
    <col width="18" customWidth="1" min="2" max="2"/>
    <col width="18" customWidth="1" min="3" max="3"/>
    <col width="18" customWidth="1" min="4" max="4"/>
    <col width="18" customWidth="1" min="5" max="5"/>
  </cols>
  <sheetData>
    <row r="1">
      <c r="A1" s="5" t="inlineStr">
        <is>
          <t>6.01 · Installations de chantier : sanitaires, cantonnements et chiffrage en 3 postes (structure CAN 113)</t>
        </is>
      </c>
    </row>
    <row r="2">
      <c r="A2" s="6" t="inlineStr">
        <is>
          <t>Cellules jaunes = à saisir. Les prix unitaires sont des EXEMPLES de l'outil (le cahier des charges n'en donne aucun) : remplacez-les par vos prix. Ratios sanitaires : valeurs du cahier des charges, non vérifiées (OLT 3).</t>
        </is>
      </c>
    </row>
    <row r="4">
      <c r="A4" s="3" t="inlineStr">
        <is>
          <t>Durée du chantier (mois)</t>
        </is>
      </c>
      <c r="B4" s="7" t="n">
        <v>8</v>
      </c>
    </row>
    <row r="5">
      <c r="A5" s="3" t="inlineStr">
        <is>
          <t>Effectif maximal simultané (ouvriers)</t>
        </is>
      </c>
      <c r="B5" s="8" t="n">
        <v>8</v>
      </c>
    </row>
    <row r="6">
      <c r="A6" s="3" t="inlineStr">
        <is>
          <t>Périmètre de clôture (m)</t>
        </is>
      </c>
      <c r="B6" s="7" t="n">
        <v>80</v>
      </c>
    </row>
    <row r="7">
      <c r="A7" s="3" t="inlineStr">
        <is>
          <t>Montant du gros œuvre HT (CHF)</t>
        </is>
      </c>
      <c r="B7" s="9" t="n">
        <v>450000</v>
      </c>
    </row>
    <row r="8">
      <c r="A8" s="3" t="inlineStr">
        <is>
          <t>Engin de levage (0 aucun, 1 grue à montage rapide GMR, 2 grue à tour GME)</t>
        </is>
      </c>
      <c r="B8" s="8" t="n">
        <v>0</v>
      </c>
    </row>
    <row r="10">
      <c r="A10" s="10" t="inlineStr">
        <is>
          <t>Tarifs unitaires d'exemple (CHF)</t>
        </is>
      </c>
      <c r="B10" s="10" t="inlineStr">
        <is>
          <t>1. Mise en place</t>
        </is>
      </c>
      <c r="C10" s="10" t="inlineStr">
        <is>
          <t>2. Exploitation par mois</t>
        </is>
      </c>
      <c r="D10" s="10" t="inlineStr">
        <is>
          <t>3. Repli</t>
        </is>
      </c>
    </row>
    <row r="11">
      <c r="A11" s="3" t="inlineStr">
        <is>
          <t>Clôture type Heras (par m)</t>
        </is>
      </c>
      <c r="B11" s="9" t="n">
        <v>12</v>
      </c>
      <c r="C11" s="9" t="n">
        <v>4</v>
      </c>
      <c r="D11" s="9" t="n">
        <v>6</v>
      </c>
    </row>
    <row r="12">
      <c r="A12" s="3" t="inlineStr">
        <is>
          <t>Container de cantonnement (par container)</t>
        </is>
      </c>
      <c r="B12" s="9" t="n">
        <v>600</v>
      </c>
      <c r="C12" s="9" t="n">
        <v>450</v>
      </c>
      <c r="D12" s="9" t="n">
        <v>400</v>
      </c>
    </row>
    <row r="13">
      <c r="A13" s="3" t="inlineStr">
        <is>
          <t>WC chimique ou raccordé (par WC)</t>
        </is>
      </c>
      <c r="B13" s="9" t="n">
        <v>80</v>
      </c>
      <c r="C13" s="9" t="n">
        <v>180</v>
      </c>
      <c r="D13" s="9" t="n">
        <v>60</v>
      </c>
    </row>
    <row r="14">
      <c r="A14" s="3" t="inlineStr">
        <is>
          <t>Grue à montage rapide GMR (forfait)</t>
        </is>
      </c>
      <c r="B14" s="9" t="n">
        <v>15000</v>
      </c>
      <c r="C14" s="9" t="n">
        <v>4500</v>
      </c>
      <c r="D14" s="9" t="n">
        <v>6000</v>
      </c>
    </row>
    <row r="15">
      <c r="A15" s="3" t="inlineStr">
        <is>
          <t>Grue à tour GME (forfait)</t>
        </is>
      </c>
      <c r="B15" s="9" t="n">
        <v>30000</v>
      </c>
      <c r="C15" s="9" t="n">
        <v>9000</v>
      </c>
      <c r="D15" s="9" t="n">
        <v>14000</v>
      </c>
    </row>
    <row r="16">
      <c r="A16" s="3" t="inlineStr">
        <is>
          <t>Coffret électrique de chantier (forfait)</t>
        </is>
      </c>
      <c r="B16" s="9" t="n">
        <v>800</v>
      </c>
      <c r="C16" s="9" t="n">
        <v>550</v>
      </c>
      <c r="D16" s="9" t="n">
        <v>300</v>
      </c>
    </row>
    <row r="18">
      <c r="A18" s="3" t="inlineStr">
        <is>
          <t>WC au minimum (1 pour 15 travailleurs)</t>
        </is>
      </c>
      <c r="B18" s="11">
        <f>IF(B5&gt;0,ROUNDUP(ROUND(B5/15,6),0),0)</f>
        <v/>
      </c>
    </row>
    <row r="19">
      <c r="A19" s="3" t="inlineStr">
        <is>
          <t>WC en confort (1 pour 10 travailleurs)</t>
        </is>
      </c>
      <c r="B19" s="11">
        <f>IF(B5&gt;0,ROUNDUP(ROUND(B5/10,6),0),0)</f>
        <v/>
      </c>
    </row>
    <row r="20">
      <c r="A20" s="3" t="inlineStr">
        <is>
          <t>Surface de vestiaire et réfectoire au minimum (1.5 m² par personne) (m²)</t>
        </is>
      </c>
      <c r="B20" s="12">
        <f>ROUND(B5*1.5,2)</f>
        <v/>
      </c>
    </row>
    <row r="21">
      <c r="A21" s="3" t="inlineStr">
        <is>
          <t>Surface de vestiaire et réfectoire en confort (2.0 m² par personne) (m²)</t>
        </is>
      </c>
      <c r="B21" s="12">
        <f>ROUND(B5*2.0,2)</f>
        <v/>
      </c>
    </row>
    <row r="22">
      <c r="A22" s="3" t="inlineStr">
        <is>
          <t>Containers de 15 m² (confort)</t>
        </is>
      </c>
      <c r="B22" s="11">
        <f>IF(B5&gt;0,ROUNDUP(ROUND(B21/15,6),0),0)</f>
        <v/>
      </c>
    </row>
    <row r="24">
      <c r="A24" s="10" t="inlineStr">
        <is>
          <t>Poste</t>
        </is>
      </c>
      <c r="B24" s="10" t="inlineStr">
        <is>
          <t>Quantité</t>
        </is>
      </c>
      <c r="C24" s="10" t="inlineStr">
        <is>
          <t>1. Mise en place</t>
        </is>
      </c>
      <c r="D24" s="10" t="inlineStr">
        <is>
          <t>2. Exploitation</t>
        </is>
      </c>
      <c r="E24" s="10" t="inlineStr">
        <is>
          <t>3. Repli</t>
        </is>
      </c>
    </row>
    <row r="25">
      <c r="A25" s="3" t="inlineStr">
        <is>
          <t>Clôture (m)</t>
        </is>
      </c>
      <c r="B25" s="12">
        <f>B6</f>
        <v/>
      </c>
      <c r="C25" s="13">
        <f>ROUND(B25*B11,2)</f>
        <v/>
      </c>
      <c r="D25" s="13">
        <f>ROUND(B25*C11*$B$4,2)</f>
        <v/>
      </c>
      <c r="E25" s="13">
        <f>ROUND(B25*D11,2)</f>
        <v/>
      </c>
    </row>
    <row r="26">
      <c r="A26" s="3" t="inlineStr">
        <is>
          <t>Containers</t>
        </is>
      </c>
      <c r="B26" s="12">
        <f>B22</f>
        <v/>
      </c>
      <c r="C26" s="13">
        <f>ROUND(B26*B12,2)</f>
        <v/>
      </c>
      <c r="D26" s="13">
        <f>ROUND(B26*C12*$B$4,2)</f>
        <v/>
      </c>
      <c r="E26" s="13">
        <f>ROUND(B26*D12,2)</f>
        <v/>
      </c>
    </row>
    <row r="27">
      <c r="A27" s="3" t="inlineStr">
        <is>
          <t>WC</t>
        </is>
      </c>
      <c r="B27" s="12">
        <f>B19</f>
        <v/>
      </c>
      <c r="C27" s="13">
        <f>ROUND(B27*B13,2)</f>
        <v/>
      </c>
      <c r="D27" s="13">
        <f>ROUND(B27*C13*$B$4,2)</f>
        <v/>
      </c>
      <c r="E27" s="13">
        <f>ROUND(B27*D13,2)</f>
        <v/>
      </c>
    </row>
    <row r="28">
      <c r="A28" s="3" t="inlineStr">
        <is>
          <t>Levage (grue, transport et montage)</t>
        </is>
      </c>
      <c r="B28" s="11">
        <f>IF(B8&gt;0,1,0)</f>
        <v/>
      </c>
      <c r="C28" s="13">
        <f>ROUND(B28*IF(B8=1,B14,IF(B8=2,B15,0)),2)</f>
        <v/>
      </c>
      <c r="D28" s="13">
        <f>ROUND(B28*IF(B8=1,C14,IF(B8=2,C15,0))*$B$4,2)</f>
        <v/>
      </c>
      <c r="E28" s="13">
        <f>ROUND(B28*IF(B8=1,D14,IF(B8=2,D15,0)),2)</f>
        <v/>
      </c>
    </row>
    <row r="29">
      <c r="A29" s="3" t="inlineStr">
        <is>
          <t>Coffret électrique</t>
        </is>
      </c>
      <c r="B29" s="12">
        <f>1</f>
        <v/>
      </c>
      <c r="C29" s="13">
        <f>ROUND(B29*B16,2)</f>
        <v/>
      </c>
      <c r="D29" s="13">
        <f>ROUND(B29*C16*$B$4,2)</f>
        <v/>
      </c>
      <c r="E29" s="13">
        <f>ROUND(B29*D16,2)</f>
        <v/>
      </c>
    </row>
    <row r="30">
      <c r="A30" s="3" t="inlineStr">
        <is>
          <t>Total par poste (CHF)</t>
        </is>
      </c>
      <c r="C30" s="13">
        <f>ROUND(C25+C26+C27+C28+C29,2)</f>
        <v/>
      </c>
      <c r="D30" s="13">
        <f>ROUND(D25+D26+D27+D28+D29,2)</f>
        <v/>
      </c>
      <c r="E30" s="13">
        <f>ROUND(E25+E26+E27+E28+E29,2)</f>
        <v/>
      </c>
    </row>
    <row r="32">
      <c r="A32" s="3" t="inlineStr">
        <is>
          <t>Total des installations de chantier HT (CHF)</t>
        </is>
      </c>
      <c r="B32" s="13">
        <f>ROUND(C30+D30+E30,2)</f>
        <v/>
      </c>
    </row>
    <row r="33">
      <c r="A33" s="3" t="inlineStr">
        <is>
          <t>Ratio sur le gros œuvre (%) — repère du cahier des charges : 4 % à 8 %</t>
        </is>
      </c>
      <c r="B33" s="12">
        <f>IF(B7&gt;0,ROUND(B32/MAX(B7,0.000001)*100,2),"")</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2"/>
  <sheetViews>
    <sheetView showGridLines="0" workbookViewId="0">
      <selection activeCell="A1" sqref="A1"/>
    </sheetView>
  </sheetViews>
  <sheetFormatPr baseColWidth="8" defaultRowHeight="15"/>
  <cols>
    <col width="62" customWidth="1" min="1" max="1"/>
    <col width="18" customWidth="1" min="2" max="2"/>
    <col width="18" customWidth="1" min="3" max="3"/>
    <col width="18" customWidth="1" min="4" max="4"/>
    <col width="18" customWidth="1" min="5" max="5"/>
    <col width="18" customWidth="1" min="6" max="6"/>
    <col width="18" customWidth="1" min="7" max="7"/>
  </cols>
  <sheetData>
    <row r="1">
      <c r="A1" s="5" t="inlineStr">
        <is>
          <t>6.02 · Diagnostic des polluants, concept d'élimination (art. 16 OLED), bennes et tonnages de démolition</t>
        </is>
      </c>
    </row>
    <row r="2">
      <c r="A2" s="6" t="inlineStr">
        <is>
          <t>Cellules jaunes = à saisir. Le critère « avant 1991 » et la catégorie amiante (1 Vert, 2 Orange, 3 Rouge) sont ceux de l'outil, pas des textes officiels ; densités et foisonnements : valeurs usuelles, non vérifiées.</t>
        </is>
      </c>
    </row>
    <row r="4">
      <c r="A4" s="3" t="inlineStr">
        <is>
          <t>Année de construction du bâtiment</t>
        </is>
      </c>
      <c r="B4" s="8" t="n">
        <v>1978</v>
      </c>
    </row>
    <row r="5">
      <c r="A5" s="3" t="inlineStr">
        <is>
          <t>Volume de déchets (m³ en place, non foisonné)</t>
        </is>
      </c>
      <c r="B5" s="8" t="n">
        <v>240</v>
      </c>
    </row>
    <row r="6">
      <c r="A6" s="3" t="inlineStr">
        <is>
          <t>Libération de fibres attendue (1 faible, 2 moyenne, 3 importante)</t>
        </is>
      </c>
      <c r="B6" s="8" t="n">
        <v>3</v>
      </c>
    </row>
    <row r="7">
      <c r="A7" s="3" t="inlineStr">
        <is>
          <t>Le matériau touché contient de l'amiante (1 oui, 0 non)</t>
        </is>
      </c>
      <c r="B7" s="8" t="n">
        <v>1</v>
      </c>
    </row>
    <row r="8">
      <c r="A8" s="3" t="inlineStr">
        <is>
          <t>Volume d'une benne (m³)</t>
        </is>
      </c>
      <c r="B8" s="8" t="n">
        <v>10</v>
      </c>
    </row>
    <row r="10">
      <c r="A10" s="10" t="inlineStr">
        <is>
          <t>Déchet</t>
        </is>
      </c>
      <c r="B10" s="10" t="inlineStr">
        <is>
          <t>En place (m³)</t>
        </is>
      </c>
      <c r="C10" s="10" t="inlineStr">
        <is>
          <t>Densité (t/m³)</t>
        </is>
      </c>
      <c r="D10" s="10" t="inlineStr">
        <is>
          <t>Foisonnement</t>
        </is>
      </c>
      <c r="E10" s="10" t="inlineStr">
        <is>
          <t>Foisonné (m³)</t>
        </is>
      </c>
      <c r="F10" s="10" t="inlineStr">
        <is>
          <t>Tonnage (t)</t>
        </is>
      </c>
      <c r="G10" s="10" t="inlineStr">
        <is>
          <t>Bennes</t>
        </is>
      </c>
    </row>
    <row r="11">
      <c r="A11" s="3" t="inlineStr">
        <is>
          <t>Béton armé</t>
        </is>
      </c>
      <c r="B11" s="7" t="n">
        <v>40</v>
      </c>
      <c r="C11" s="14" t="n">
        <v>2.4</v>
      </c>
      <c r="D11" s="14" t="n">
        <v>1.45</v>
      </c>
      <c r="E11" s="12">
        <f>ROUND(B11*D11,2)</f>
        <v/>
      </c>
      <c r="F11" s="12">
        <f>ROUND(B11*C11,2)</f>
        <v/>
      </c>
      <c r="G11" s="11">
        <f>IF(B11&gt;0,ROUNDUP(ROUND(B11*D11/MAX($B$8,0.000001),6),0),0)</f>
        <v/>
      </c>
    </row>
    <row r="12">
      <c r="A12" s="3" t="inlineStr">
        <is>
          <t>Maçonnerie de briques</t>
        </is>
      </c>
      <c r="B12" s="7" t="n">
        <v>30</v>
      </c>
      <c r="C12" s="14" t="n">
        <v>1.6</v>
      </c>
      <c r="D12" s="14" t="n">
        <v>1.5</v>
      </c>
      <c r="E12" s="12">
        <f>ROUND(B12*D12,2)</f>
        <v/>
      </c>
      <c r="F12" s="12">
        <f>ROUND(B12*C12,2)</f>
        <v/>
      </c>
      <c r="G12" s="11">
        <f>IF(B12&gt;0,ROUNDUP(ROUND(B12*D12/MAX($B$8,0.000001),6),0),0)</f>
        <v/>
      </c>
    </row>
    <row r="13">
      <c r="A13" s="3" t="inlineStr">
        <is>
          <t>Bois de démolition</t>
        </is>
      </c>
      <c r="B13" s="7" t="n">
        <v>8</v>
      </c>
      <c r="C13" s="14" t="n">
        <v>0.55</v>
      </c>
      <c r="D13" s="14" t="n">
        <v>1.6</v>
      </c>
      <c r="E13" s="12">
        <f>ROUND(B13*D13,2)</f>
        <v/>
      </c>
      <c r="F13" s="12">
        <f>ROUND(B13*C13,2)</f>
        <v/>
      </c>
      <c r="G13" s="11">
        <f>IF(B13&gt;0,ROUNDUP(ROUND(B13*D13/MAX($B$8,0.000001),6),0),0)</f>
        <v/>
      </c>
    </row>
    <row r="14">
      <c r="A14" s="3" t="inlineStr">
        <is>
          <t>Plâtre / plaques de plâtre (Fermacell)</t>
        </is>
      </c>
      <c r="B14" s="7" t="n">
        <v>5</v>
      </c>
      <c r="C14" s="14" t="n">
        <v>0.9</v>
      </c>
      <c r="D14" s="14" t="n">
        <v>1.55</v>
      </c>
      <c r="E14" s="12">
        <f>ROUND(B14*D14,2)</f>
        <v/>
      </c>
      <c r="F14" s="12">
        <f>ROUND(B14*C14,2)</f>
        <v/>
      </c>
      <c r="G14" s="11">
        <f>IF(B14&gt;0,ROUNDUP(ROUND(B14*D14/MAX($B$8,0.000001),6),0),0)</f>
        <v/>
      </c>
    </row>
    <row r="15">
      <c r="A15" s="3" t="inlineStr">
        <is>
          <t>Total</t>
        </is>
      </c>
      <c r="E15" s="12">
        <f>ROUND(E11+E12+E13+E14,2)</f>
        <v/>
      </c>
      <c r="F15" s="12">
        <f>ROUND(F11+F12+F13+F14,2)</f>
        <v/>
      </c>
      <c r="G15" s="11">
        <f>G11+G12+G13+G14</f>
        <v/>
      </c>
    </row>
    <row r="29">
      <c r="A29" s="3" t="inlineStr">
        <is>
          <t>Diagnostic des polluants obligatoire (1 oui) : année &lt; 1991</t>
        </is>
      </c>
      <c r="B29" s="11">
        <f>IF(B4&lt;1991,1,0)</f>
        <v/>
      </c>
    </row>
    <row r="30">
      <c r="A30" s="3" t="inlineStr">
        <is>
          <t>Concept d'élimination obligatoire (1 oui) : année &lt; 1991 ou volume &gt; 200 m³</t>
        </is>
      </c>
      <c r="B30" s="11">
        <f>IF(OR(B4&lt;1991,B5&gt;200),1,0)</f>
        <v/>
      </c>
    </row>
    <row r="31">
      <c r="A31" s="3" t="inlineStr">
        <is>
          <t>Catégorie amiante (0 sans objet, 1 Vert, 2 Orange, 3 Rouge)</t>
        </is>
      </c>
      <c r="B31" s="11">
        <f>IF(AND(B7=1,B4&lt;1991),B6,0)</f>
        <v/>
      </c>
    </row>
    <row r="32">
      <c r="A32" s="3" t="inlineStr">
        <is>
          <t>Entreprise de désamiantage reconnue (1 oui) : catégorie Rouge</t>
        </is>
      </c>
      <c r="B32" s="11">
        <f>IF(B31=3,1,0)</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5"/>
  <sheetViews>
    <sheetView showGridLines="0" workbookViewId="0">
      <selection activeCell="A1" sqref="A1"/>
    </sheetView>
  </sheetViews>
  <sheetFormatPr baseColWidth="8" defaultRowHeight="15"/>
  <cols>
    <col width="70" customWidth="1" min="1" max="1"/>
    <col width="18" customWidth="1" min="2" max="2"/>
  </cols>
  <sheetData>
    <row r="1">
      <c r="A1" s="5" t="inlineStr">
        <is>
          <t>6.03 · Terrassement : foisonnement, masse, voyages de camions, pelle et talus</t>
        </is>
      </c>
    </row>
    <row r="2">
      <c r="A2" s="6" t="inlineStr">
        <is>
          <t>Cellules jaunes = à saisir. Le métré se paie en volume EN PLACE (CAN 211) ; le foisonnement ne sert qu'à la logistique. Densités, foisonnements, compactages et charges utiles : valeurs du cahier des charges, non vérifiées. Talus : OTConst art. 68 al. 2, 71, 75 et 76.</t>
        </is>
      </c>
    </row>
    <row r="4">
      <c r="A4" s="3" t="inlineStr">
        <is>
          <t>Volume en place (m³)</t>
        </is>
      </c>
      <c r="B4" s="7" t="n">
        <v>350</v>
      </c>
    </row>
    <row r="5">
      <c r="A5" s="3" t="inlineStr">
        <is>
          <t>Profondeur de la fouille (m)</t>
        </is>
      </c>
      <c r="B5" s="14" t="n">
        <v>2.8</v>
      </c>
    </row>
    <row r="6">
      <c r="A6" s="3" t="inlineStr">
        <is>
          <t>Densité en place (t/m³)</t>
        </is>
      </c>
      <c r="B6" s="14" t="n">
        <v>1.75</v>
      </c>
    </row>
    <row r="7">
      <c r="A7" s="3" t="inlineStr">
        <is>
          <t>Coefficient de foisonnement</t>
        </is>
      </c>
      <c r="B7" s="14" t="n">
        <v>1.3</v>
      </c>
    </row>
    <row r="8">
      <c r="A8" s="3" t="inlineStr">
        <is>
          <t>Coefficient de compactage</t>
        </is>
      </c>
      <c r="B8" s="14" t="n">
        <v>0.92</v>
      </c>
    </row>
    <row r="9">
      <c r="A9" s="3" t="inlineStr">
        <is>
          <t>Charge utile du camion (t)</t>
        </is>
      </c>
      <c r="B9" s="7" t="n">
        <v>18.5</v>
      </c>
    </row>
    <row r="10">
      <c r="A10" s="3" t="inlineStr">
        <is>
          <t>Volume de la benne (m³)</t>
        </is>
      </c>
      <c r="B10" s="7" t="n">
        <v>11.5</v>
      </c>
    </row>
    <row r="11">
      <c r="A11" s="3" t="inlineStr">
        <is>
          <t>Cycle aller-retour (min)</t>
        </is>
      </c>
      <c r="B11" s="8" t="n">
        <v>50</v>
      </c>
    </row>
    <row r="12">
      <c r="A12" s="3" t="inlineStr">
        <is>
          <t>Cadence de la pelle (m³ en place par heure)</t>
        </is>
      </c>
      <c r="B12" s="8" t="n">
        <v>35</v>
      </c>
    </row>
    <row r="13">
      <c r="A13" s="3" t="inlineStr">
        <is>
          <t>Pente de talutage n (n:1 ; 1, 2 ou 3)</t>
        </is>
      </c>
      <c r="B13" s="8" t="n">
        <v>1</v>
      </c>
    </row>
    <row r="15">
      <c r="A15" s="3" t="inlineStr">
        <is>
          <t>Volume foisonné à transporter (m³)</t>
        </is>
      </c>
      <c r="B15" s="12">
        <f>ROUND(B4*B7,2)</f>
        <v/>
      </c>
    </row>
    <row r="16">
      <c r="A16" s="3" t="inlineStr">
        <is>
          <t>Masse à évacuer (t)</t>
        </is>
      </c>
      <c r="B16" s="12">
        <f>ROUND(B4*B6,2)</f>
        <v/>
      </c>
    </row>
    <row r="17">
      <c r="A17" s="3" t="inlineStr">
        <is>
          <t>Voyages de camion (le plus contraignant : charge utile ou volume de benne)</t>
        </is>
      </c>
      <c r="B17" s="11">
        <f>IF(B4&gt;0,ROUNDUP(ROUND(MAX(B4*B6/B9,B4*B7/B10),6),0),0)</f>
        <v/>
      </c>
    </row>
    <row r="18">
      <c r="A18" s="3" t="inlineStr">
        <is>
          <t>Volume en place par voyage (m³)</t>
        </is>
      </c>
      <c r="B18" s="12">
        <f>IF(B17&gt;0,ROUND(B4/MAX(B17,1),2),0)</f>
        <v/>
      </c>
    </row>
    <row r="19">
      <c r="A19" s="3" t="inlineStr">
        <is>
          <t>Temps de chargement d'un camion (min)</t>
        </is>
      </c>
      <c r="B19" s="15">
        <f>IF(AND(B12&gt;0,B17&gt;0),ROUND(B4/MAX(B17,1)/MAX(B12,0.000001)*60,1),"")</f>
        <v/>
      </c>
    </row>
    <row r="20">
      <c r="A20" s="3" t="inlineStr">
        <is>
          <t>Camions nécessaires en rotation continue</t>
        </is>
      </c>
      <c r="B20" s="11">
        <f>IF(AND(B12&gt;0,B17&gt;0),MAX(1,ROUNDUP(ROUND(B11/MAX(B4/MAX(B17,1)/MAX(B12,0.000001)*60,0.000001),6),0)),"")</f>
        <v/>
      </c>
    </row>
    <row r="21">
      <c r="A21" s="3" t="inlineStr">
        <is>
          <t>Durée de chargement de la pelle (h)</t>
        </is>
      </c>
      <c r="B21" s="15">
        <f>IF(B12&gt;0,ROUND(B4/MAX(B12,0.000001),1),"")</f>
        <v/>
      </c>
    </row>
    <row r="22">
      <c r="A22" s="3" t="inlineStr">
        <is>
          <t>Volume compacté en remblai (m³)</t>
        </is>
      </c>
      <c r="B22" s="12">
        <f>ROUND(B4*B8,2)</f>
        <v/>
      </c>
    </row>
    <row r="23">
      <c r="A23" s="3" t="inlineStr">
        <is>
          <t>Surlargeur de talus par côté (m)</t>
        </is>
      </c>
      <c r="B23" s="12">
        <f>ROUND(B5/B13,2)</f>
        <v/>
      </c>
    </row>
    <row r="24">
      <c r="A24" s="3" t="inlineStr">
        <is>
          <t>Angle du talus (degrés)</t>
        </is>
      </c>
      <c r="B24" s="15">
        <f>ROUND(ATAN(B13)*180/PI(),1)</f>
        <v/>
      </c>
    </row>
    <row r="25">
      <c r="A25" s="3" t="inlineStr">
        <is>
          <t>Emprise avec la bande libre de 1.0 m (paroi talutée, art. 71 OTConst) (m)</t>
        </is>
      </c>
      <c r="B25" s="12">
        <f>ROUND(B5/B13+1.0,2)</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7"/>
  <sheetViews>
    <sheetView showGridLines="0" workbookViewId="0">
      <selection activeCell="A1" sqref="A1"/>
    </sheetView>
  </sheetViews>
  <sheetFormatPr baseColWidth="8" defaultRowHeight="15"/>
  <cols>
    <col width="76" customWidth="1" min="1" max="1"/>
    <col width="18" customWidth="1" min="2" max="2"/>
  </cols>
  <sheetData>
    <row r="1">
      <c r="A1" s="5" t="inlineStr">
        <is>
          <t>6.04 · Tonnage d'enrobés bitumineux et de grave ; pose de canalisation (pente, tranchée, lit de pose)</t>
        </is>
      </c>
    </row>
    <row r="2">
      <c r="A2" s="6" t="inlineStr">
        <is>
          <t>Cellules jaunes = à saisir. Densités, émulsion et plage de pente de 1,5 % à 5,0 % : valeurs du cahier des charges. Les pentes minimales par diamètre de la SN 592000 ne sont pas intégrées. Tranchée : max. de l'OTConst art. 69 al. 3 et de la règle du cahier.</t>
        </is>
      </c>
    </row>
    <row r="4">
      <c r="A4" s="3" t="inlineStr">
        <is>
          <t>Surface à revêtir (m²)</t>
        </is>
      </c>
      <c r="B4" s="7" t="n">
        <v>250</v>
      </c>
    </row>
    <row r="5">
      <c r="A5" s="3" t="inlineStr">
        <is>
          <t>Fondation en grave 0/45 compactée (cm)</t>
        </is>
      </c>
      <c r="B5" s="7" t="n">
        <v>40</v>
      </c>
    </row>
    <row r="6">
      <c r="A6" s="3" t="inlineStr">
        <is>
          <t>Couche de base ACT 22 N (cm)</t>
        </is>
      </c>
      <c r="B6" s="7" t="n">
        <v>6</v>
      </c>
    </row>
    <row r="7">
      <c r="A7" s="3" t="inlineStr">
        <is>
          <t>Couche de roulement AC 11 N (cm)</t>
        </is>
      </c>
      <c r="B7" s="7" t="n">
        <v>3.5</v>
      </c>
    </row>
    <row r="8">
      <c r="A8" s="3" t="inlineStr">
        <is>
          <t>Perte de mise en œuvre (%)</t>
        </is>
      </c>
      <c r="B8" s="7" t="n">
        <v>5</v>
      </c>
    </row>
    <row r="9">
      <c r="A9" s="3" t="inlineStr">
        <is>
          <t>Densité de la grave compactée (t/m³)</t>
        </is>
      </c>
      <c r="B9" s="14" t="n">
        <v>2.15</v>
      </c>
    </row>
    <row r="10">
      <c r="A10" s="3" t="inlineStr">
        <is>
          <t>Densité de l'enrobé compacté (t/m³)</t>
        </is>
      </c>
      <c r="B10" s="14" t="n">
        <v>2.4</v>
      </c>
    </row>
    <row r="11">
      <c r="A11" s="3" t="inlineStr">
        <is>
          <t>Émulsion d'accrochage (kg/m²)</t>
        </is>
      </c>
      <c r="B11" s="14" t="n">
        <v>0.35</v>
      </c>
    </row>
    <row r="12">
      <c r="A12" s="3" t="inlineStr">
        <is>
          <t>Poids de l'enrobé par cm d'épaisseur (kg/m²)</t>
        </is>
      </c>
      <c r="B12" s="7" t="n">
        <v>24</v>
      </c>
    </row>
    <row r="14">
      <c r="A14" s="3" t="inlineStr">
        <is>
          <t>Grave 0/45 à commander (t)</t>
        </is>
      </c>
      <c r="B14" s="12">
        <f>ROUND(B4*(B5/100)*B9*(1+B8/100),2)</f>
        <v/>
      </c>
    </row>
    <row r="15">
      <c r="A15" s="3" t="inlineStr">
        <is>
          <t>Couche de base ACT 22 N (t)</t>
        </is>
      </c>
      <c r="B15" s="12">
        <f>ROUND(B4*(B6/100)*B10*(1+B8/100),2)</f>
        <v/>
      </c>
    </row>
    <row r="16">
      <c r="A16" s="3" t="inlineStr">
        <is>
          <t>Couche de roulement AC 11 N (t)</t>
        </is>
      </c>
      <c r="B16" s="12">
        <f>ROUND(B4*(B7/100)*B10*(1+B8/100),2)</f>
        <v/>
      </c>
    </row>
    <row r="17">
      <c r="A17" s="3" t="inlineStr">
        <is>
          <t>Total enrobé bitumineux (t)</t>
        </is>
      </c>
      <c r="B17" s="12">
        <f>ROUND(B15+B16,2)</f>
        <v/>
      </c>
    </row>
    <row r="18">
      <c r="A18" s="3" t="inlineStr">
        <is>
          <t>Émulsion d'accrochage (kg)</t>
        </is>
      </c>
      <c r="B18" s="12">
        <f>ROUND(B4*B11,2)</f>
        <v/>
      </c>
    </row>
    <row r="19">
      <c r="A19" s="3" t="inlineStr">
        <is>
          <t>Poids d'enrobé de l'ensemble des couches (kg/m²)</t>
        </is>
      </c>
      <c r="B19" s="12">
        <f>ROUND(B12*(B6+B7),2)</f>
        <v/>
      </c>
    </row>
    <row r="22">
      <c r="A22" s="3" t="inlineStr">
        <is>
          <t>Longueur du tronçon (m)</t>
        </is>
      </c>
      <c r="B22" s="7" t="n">
        <v>25</v>
      </c>
    </row>
    <row r="23">
      <c r="A23" s="3" t="inlineStr">
        <is>
          <t>Diamètre nominal DN (mm)</t>
        </is>
      </c>
      <c r="B23" s="8" t="n">
        <v>150</v>
      </c>
    </row>
    <row r="24">
      <c r="A24" s="3" t="inlineStr">
        <is>
          <t>Diamètre extérieur du tube (mm)</t>
        </is>
      </c>
      <c r="B24" s="8" t="n">
        <v>160</v>
      </c>
    </row>
    <row r="25">
      <c r="A25" s="3" t="inlineStr">
        <is>
          <t>Pente choisie (%)</t>
        </is>
      </c>
      <c r="B25" s="7" t="n">
        <v>2</v>
      </c>
    </row>
    <row r="26">
      <c r="A26" s="3" t="inlineStr">
        <is>
          <t>Profondeur moyenne de la tranchée (m)</t>
        </is>
      </c>
      <c r="B26" s="14" t="n">
        <v>1.6</v>
      </c>
    </row>
    <row r="27">
      <c r="A27" s="3" t="inlineStr">
        <is>
          <t>Enrobage au-dessus de la génératrice supérieure (cm)</t>
        </is>
      </c>
      <c r="B27" s="8" t="n">
        <v>20</v>
      </c>
    </row>
    <row r="28">
      <c r="A28" s="3" t="inlineStr">
        <is>
          <t>Espace de travail de chaque côté du tube (m)</t>
        </is>
      </c>
      <c r="B28" s="14" t="n">
        <v>0.3</v>
      </c>
    </row>
    <row r="29">
      <c r="A29" s="3" t="inlineStr">
        <is>
          <t>Cote du fil d'eau au départ (m)</t>
        </is>
      </c>
      <c r="B29" s="14" t="n">
        <v>420</v>
      </c>
    </row>
    <row r="30">
      <c r="A30" s="3" t="inlineStr">
        <is>
          <t>Épaisseur du lit de pose (m)</t>
        </is>
      </c>
      <c r="B30" s="14" t="n">
        <v>0.1</v>
      </c>
    </row>
    <row r="31">
      <c r="A31" s="3" t="inlineStr">
        <is>
          <t>Coefficient de Manning n</t>
        </is>
      </c>
      <c r="B31" s="16" t="n">
        <v>0.011</v>
      </c>
    </row>
    <row r="33">
      <c r="A33" s="3" t="inlineStr">
        <is>
          <t>Différence de niveau (cm)</t>
        </is>
      </c>
      <c r="B33" s="12">
        <f>ROUND(B22*B25,2)</f>
        <v/>
      </c>
    </row>
    <row r="34">
      <c r="A34" s="3" t="inlineStr">
        <is>
          <t>Cote du fil d'eau à l'arrivée (m)</t>
        </is>
      </c>
      <c r="B34" s="17">
        <f>ROUND(B29-B22*B25/100,3)</f>
        <v/>
      </c>
    </row>
    <row r="35">
      <c r="A35" s="3" t="inlineStr">
        <is>
          <t>Verdict de pente (−1 trop faible, 0 dans la plage, 1 forte)</t>
        </is>
      </c>
      <c r="B35" s="11">
        <f>IF(B25&lt;1.5,-1,IF(B25&gt;5.0,1,0))</f>
        <v/>
      </c>
    </row>
    <row r="36">
      <c r="A36" s="3" t="inlineStr">
        <is>
          <t>Vitesse à pleine section, Manning (m/s)</t>
        </is>
      </c>
      <c r="B36" s="12">
        <f>ROUND((1/B31)*(B23/4000)^(2/3)*SQRT(B25/100),2)</f>
        <v/>
      </c>
    </row>
    <row r="37">
      <c r="A37" s="3" t="inlineStr">
        <is>
          <t>Largeur exigée par l'OTConst art. 69 al. 3 (m), non arrondie</t>
        </is>
      </c>
      <c r="B37" s="18">
        <f>MAX(B24/1000+0.4,IF(B26&gt;1,0.6,0))</f>
        <v/>
      </c>
    </row>
    <row r="38">
      <c r="A38" s="3" t="inlineStr">
        <is>
          <t>Largeur selon le cahier des charges (m), non arrondie</t>
        </is>
      </c>
      <c r="B38" s="18">
        <f>IF(B26&lt;=1,0.6,MAX(0.8,B24/1000+2*B28))</f>
        <v/>
      </c>
    </row>
    <row r="39">
      <c r="A39" s="3" t="inlineStr">
        <is>
          <t>Largeur de tranchée retenue (m), non arrondie</t>
        </is>
      </c>
      <c r="B39" s="18">
        <f>MAX(B37,B38)</f>
        <v/>
      </c>
    </row>
    <row r="40">
      <c r="A40" s="3" t="inlineStr">
        <is>
          <t>Largeur exigée par l'OTConst (m)</t>
        </is>
      </c>
      <c r="B40" s="12">
        <f>ROUND(B37,2)</f>
        <v/>
      </c>
    </row>
    <row r="41">
      <c r="A41" s="3" t="inlineStr">
        <is>
          <t>Largeur selon le cahier des charges (m)</t>
        </is>
      </c>
      <c r="B41" s="12">
        <f>ROUND(B38,2)</f>
        <v/>
      </c>
    </row>
    <row r="42">
      <c r="A42" s="3" t="inlineStr">
        <is>
          <t>Largeur de tranchée retenue (m)</t>
        </is>
      </c>
      <c r="B42" s="12">
        <f>ROUND(B39,2)</f>
        <v/>
      </c>
    </row>
    <row r="43">
      <c r="A43" s="3" t="inlineStr">
        <is>
          <t>Lit de pose, non arrondi (m³)</t>
        </is>
      </c>
      <c r="B43" s="18">
        <f>B39*B30*B22</f>
        <v/>
      </c>
    </row>
    <row r="44">
      <c r="A44" s="3" t="inlineStr">
        <is>
          <t>Enrobage du tube, non arrondi (m³)</t>
        </is>
      </c>
      <c r="B44" s="18">
        <f>(B39*(B24/1000+B27/100)-PI()*(B24/1000)*(B24/1000)/4)*B22</f>
        <v/>
      </c>
    </row>
    <row r="45">
      <c r="A45" s="3" t="inlineStr">
        <is>
          <t>Volume du lit de pose (m³)</t>
        </is>
      </c>
      <c r="B45" s="12">
        <f>ROUND(B43,2)</f>
        <v/>
      </c>
    </row>
    <row r="46">
      <c r="A46" s="3" t="inlineStr">
        <is>
          <t>Volume d'enrobage (m³)</t>
        </is>
      </c>
      <c r="B46" s="12">
        <f>ROUND(B44,2)</f>
        <v/>
      </c>
    </row>
    <row r="47">
      <c r="A47" s="3" t="inlineStr">
        <is>
          <t>Volume total de pose (m³)</t>
        </is>
      </c>
      <c r="B47" s="12">
        <f>ROUND(B43+B44,2)</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6"/>
  <sheetViews>
    <sheetView showGridLines="0" workbookViewId="0">
      <selection activeCell="A1" sqref="A1"/>
    </sheetView>
  </sheetViews>
  <sheetFormatPr baseColWidth="8" defaultRowHeight="15"/>
  <cols>
    <col width="72" customWidth="1" min="1" max="1"/>
    <col width="18" customWidth="1" min="2" max="2"/>
  </cols>
  <sheetData>
    <row r="1">
      <c r="A1" s="5" t="inlineStr">
        <is>
          <t>6.05 · Fondations spéciales : pieux forés et paroi clouée (béton projeté)</t>
        </is>
      </c>
    </row>
    <row r="2">
      <c r="A2" s="6" t="inlineStr">
        <is>
          <t>Cellules jaunes = à saisir. Surconsommation de béton, rebond, ratio d'armature et recouvrement du treillis : valeurs du cahier des charges, non vérifiées dans une norme. Le dimensionnement relève de l'ingénieur géotechnicien (SIA 267).</t>
        </is>
      </c>
    </row>
    <row r="4">
      <c r="A4" s="3" t="inlineStr">
        <is>
          <t>Nombre de pieux</t>
        </is>
      </c>
      <c r="B4" s="8" t="n">
        <v>16</v>
      </c>
    </row>
    <row r="5">
      <c r="A5" s="3" t="inlineStr">
        <is>
          <t>Diamètre de forage (mm)</t>
        </is>
      </c>
      <c r="B5" s="8" t="n">
        <v>600</v>
      </c>
    </row>
    <row r="6">
      <c r="A6" s="3" t="inlineStr">
        <is>
          <t>Longueur moyenne par pieu (m)</t>
        </is>
      </c>
      <c r="B6" s="7" t="n">
        <v>12</v>
      </c>
    </row>
    <row r="7">
      <c r="A7" s="3" t="inlineStr">
        <is>
          <t>Surconsommation de béton (%)</t>
        </is>
      </c>
      <c r="B7" s="7" t="n">
        <v>15</v>
      </c>
    </row>
    <row r="8">
      <c r="A8" s="3" t="inlineStr">
        <is>
          <t>Ratio d'armature (kg/m³)</t>
        </is>
      </c>
      <c r="B8" s="8" t="n">
        <v>95</v>
      </c>
    </row>
    <row r="10">
      <c r="A10" s="3" t="inlineStr">
        <is>
          <t>Métré linéaire total de forage (ml)</t>
        </is>
      </c>
      <c r="B10" s="12">
        <f>ROUND(B4*B6,2)</f>
        <v/>
      </c>
    </row>
    <row r="11">
      <c r="A11" s="3" t="inlineStr">
        <is>
          <t>Volume théorique de béton, non arrondi (m³)</t>
        </is>
      </c>
      <c r="B11" s="18">
        <f>B4*PI()*(B5/2000)^2*B6</f>
        <v/>
      </c>
    </row>
    <row r="12">
      <c r="A12" s="3" t="inlineStr">
        <is>
          <t>Volume théorique de béton (m³)</t>
        </is>
      </c>
      <c r="B12" s="12">
        <f>ROUND(B11,2)</f>
        <v/>
      </c>
    </row>
    <row r="13">
      <c r="A13" s="3" t="inlineStr">
        <is>
          <t>Volume réel de béton à commander (m³)</t>
        </is>
      </c>
      <c r="B13" s="12">
        <f>ROUND(B11*(1+B7/100),2)</f>
        <v/>
      </c>
    </row>
    <row r="14">
      <c r="A14" s="3" t="inlineStr">
        <is>
          <t>Acier d'armature B500B (kg)</t>
        </is>
      </c>
      <c r="B14" s="11">
        <f>ROUND(B11*B8,0)</f>
        <v/>
      </c>
    </row>
    <row r="15">
      <c r="A15" s="3" t="inlineStr">
        <is>
          <t>Têtes de pieux à recéper</t>
        </is>
      </c>
      <c r="B15" s="11">
        <f>B4</f>
        <v/>
      </c>
    </row>
    <row r="20">
      <c r="A20" s="3" t="inlineStr">
        <is>
          <t>Longueur développée de la fouille (m)</t>
        </is>
      </c>
      <c r="B20" s="7" t="n">
        <v>40</v>
      </c>
    </row>
    <row r="21">
      <c r="A21" s="3" t="inlineStr">
        <is>
          <t>Hauteur moyenne de soutènement (m)</t>
        </is>
      </c>
      <c r="B21" s="7" t="n">
        <v>5.5</v>
      </c>
    </row>
    <row r="22">
      <c r="A22" s="3" t="inlineStr">
        <is>
          <t>Espacement horizontal des clous (m)</t>
        </is>
      </c>
      <c r="B22" s="14" t="n">
        <v>1.5</v>
      </c>
    </row>
    <row r="23">
      <c r="A23" s="3" t="inlineStr">
        <is>
          <t>Espacement vertical des clous (m)</t>
        </is>
      </c>
      <c r="B23" s="14" t="n">
        <v>1.5</v>
      </c>
    </row>
    <row r="24">
      <c r="A24" s="3" t="inlineStr">
        <is>
          <t>Longueur moyenne d'un clou (m)</t>
        </is>
      </c>
      <c r="B24" s="7" t="n">
        <v>4.5</v>
      </c>
    </row>
    <row r="25">
      <c r="A25" s="3" t="inlineStr">
        <is>
          <t>Épaisseur de béton projeté (cm)</t>
        </is>
      </c>
      <c r="B25" s="8" t="n">
        <v>15</v>
      </c>
    </row>
    <row r="26">
      <c r="A26" s="3" t="inlineStr">
        <is>
          <t>Perte par rebond (%)</t>
        </is>
      </c>
      <c r="B26" s="7" t="n">
        <v>25</v>
      </c>
    </row>
    <row r="27">
      <c r="A27" s="3" t="inlineStr">
        <is>
          <t>Coefficient du treillis soudé (recouvrement de 15 %)</t>
        </is>
      </c>
      <c r="B27" s="14" t="n">
        <v>1.15</v>
      </c>
    </row>
    <row r="29">
      <c r="A29" s="3" t="inlineStr">
        <is>
          <t>Surface de paroi, non arrondie (m²)</t>
        </is>
      </c>
      <c r="B29" s="18">
        <f>B20*B21</f>
        <v/>
      </c>
    </row>
    <row r="30">
      <c r="A30" s="3" t="inlineStr">
        <is>
          <t>Surface de paroi soutenue (m²)</t>
        </is>
      </c>
      <c r="B30" s="12">
        <f>ROUND(B29,2)</f>
        <v/>
      </c>
    </row>
    <row r="31">
      <c r="A31" s="3" t="inlineStr">
        <is>
          <t>Nombre de clous d'ancrage</t>
        </is>
      </c>
      <c r="B31" s="11">
        <f>IF(AND(B22*B23&gt;0,B29&gt;0),ROUNDUP(ROUND(B29/MAX(B22*B23,0.000001),6),0),0)</f>
        <v/>
      </c>
    </row>
    <row r="32">
      <c r="A32" s="3" t="inlineStr">
        <is>
          <t>Forage et barres des clous (ml)</t>
        </is>
      </c>
      <c r="B32" s="12">
        <f>ROUND(B31*B24,2)</f>
        <v/>
      </c>
    </row>
    <row r="33">
      <c r="A33" s="3" t="inlineStr">
        <is>
          <t>Béton projeté théorique, non arrondi (m³)</t>
        </is>
      </c>
      <c r="B33" s="18">
        <f>B29*B25/100</f>
        <v/>
      </c>
    </row>
    <row r="34">
      <c r="A34" s="3" t="inlineStr">
        <is>
          <t>Béton projeté théorique (m³)</t>
        </is>
      </c>
      <c r="B34" s="12">
        <f>ROUND(B33,2)</f>
        <v/>
      </c>
    </row>
    <row r="35">
      <c r="A35" s="3" t="inlineStr">
        <is>
          <t>Béton projeté réel avec rebond (m³)</t>
        </is>
      </c>
      <c r="B35" s="12">
        <f>ROUND(B33*(1+B26/100),2)</f>
        <v/>
      </c>
    </row>
    <row r="36">
      <c r="A36" s="3" t="inlineStr">
        <is>
          <t>Treillis soudé (m²)</t>
        </is>
      </c>
      <c r="B36" s="12">
        <f>ROUND(B29*B27,2)</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34"/>
  <sheetViews>
    <sheetView showGridLines="0" workbookViewId="0">
      <selection activeCell="A1" sqref="A1"/>
    </sheetView>
  </sheetViews>
  <sheetFormatPr baseColWidth="8" defaultRowHeight="15"/>
  <cols>
    <col width="72" customWidth="1" min="1" max="1"/>
    <col width="18" customWidth="1" min="2" max="2"/>
  </cols>
  <sheetData>
    <row r="1">
      <c r="A1" s="5" t="inlineStr">
        <is>
          <t>6.06 · Béton armé : cubage, coffrage, tonnage d'acier B500B et vérification d'une tolérance</t>
        </is>
      </c>
    </row>
    <row r="2">
      <c r="A2" s="6" t="inlineStr">
        <is>
          <t>Cellules jaunes = à saisir. Ratios d'armature : valeurs du cahier des charges. Les valeurs de la SIA 414/2 ne sont pas intégrées : la tolérance admise est à saisir. Sorte de béton : voir la feuille « Sortes NPK (6.06) ».</t>
        </is>
      </c>
    </row>
    <row r="4">
      <c r="A4" s="3" t="inlineStr">
        <is>
          <t>Surface (m²)</t>
        </is>
      </c>
      <c r="B4" s="7" t="n">
        <v>120</v>
      </c>
    </row>
    <row r="5">
      <c r="A5" s="3" t="inlineStr">
        <is>
          <t>Épaisseur (cm)</t>
        </is>
      </c>
      <c r="B5" s="8" t="n">
        <v>24</v>
      </c>
    </row>
    <row r="6">
      <c r="A6" s="3" t="inlineStr">
        <is>
          <t>Ratio d'armature bas (kg/m³)</t>
        </is>
      </c>
      <c r="B6" s="8" t="n">
        <v>100</v>
      </c>
    </row>
    <row r="7">
      <c r="A7" s="3" t="inlineStr">
        <is>
          <t>Ratio d'armature haut (kg/m³)</t>
        </is>
      </c>
      <c r="B7" s="8" t="n">
        <v>115</v>
      </c>
    </row>
    <row r="8">
      <c r="A8" s="3" t="inlineStr">
        <is>
          <t>Perte de béton (%)</t>
        </is>
      </c>
      <c r="B8" s="7" t="n">
        <v>3</v>
      </c>
    </row>
    <row r="10">
      <c r="A10" s="3" t="inlineStr">
        <is>
          <t>Volume de béton théorique, non arrondi (m³)</t>
        </is>
      </c>
      <c r="B10" s="18">
        <f>B4*B5/100</f>
        <v/>
      </c>
    </row>
    <row r="11">
      <c r="A11" s="3" t="inlineStr">
        <is>
          <t>Volume de béton théorique (m³)</t>
        </is>
      </c>
      <c r="B11" s="12">
        <f>ROUND(B10,2)</f>
        <v/>
      </c>
    </row>
    <row r="12">
      <c r="A12" s="3" t="inlineStr">
        <is>
          <t>Volume de béton à commander (m³)</t>
        </is>
      </c>
      <c r="B12" s="12">
        <f>ROUND(B10*(1+B8/100),2)</f>
        <v/>
      </c>
    </row>
    <row r="13">
      <c r="A13" s="3" t="inlineStr">
        <is>
          <t>Acier B500B, ratio bas (t)</t>
        </is>
      </c>
      <c r="B13" s="17">
        <f>ROUND(B10*B6/1000,3)</f>
        <v/>
      </c>
    </row>
    <row r="14">
      <c r="A14" s="3" t="inlineStr">
        <is>
          <t>Acier B500B, ratio haut (t)</t>
        </is>
      </c>
      <c r="B14" s="17">
        <f>ROUND(B10*B7/1000,3)</f>
        <v/>
      </c>
    </row>
    <row r="15">
      <c r="A15" s="3" t="inlineStr">
        <is>
          <t>Coffrage d'une dalle : sous-face (m²)</t>
        </is>
      </c>
      <c r="B15" s="12">
        <f>ROUND(B4,2)</f>
        <v/>
      </c>
    </row>
    <row r="16">
      <c r="A16" s="3" t="inlineStr">
        <is>
          <t>Coffrage d'un radier carré : rives (m²)</t>
        </is>
      </c>
      <c r="B16" s="12">
        <f>ROUND(4*SQRT(B4)*B5/100,2)</f>
        <v/>
      </c>
    </row>
    <row r="17">
      <c r="A17" s="3" t="inlineStr">
        <is>
          <t>Coffrage d'un voile : deux faces (m²)</t>
        </is>
      </c>
      <c r="B17" s="12">
        <f>ROUND(2*B4,2)</f>
        <v/>
      </c>
    </row>
    <row r="20">
      <c r="A20" s="3" t="inlineStr">
        <is>
          <t>Poteau ou poutre : volume (m³)</t>
        </is>
      </c>
      <c r="B20" s="7" t="n">
        <v>28.8</v>
      </c>
    </row>
    <row r="21">
      <c r="A21" s="3" t="inlineStr">
        <is>
          <t>Section : largeur b (cm)</t>
        </is>
      </c>
      <c r="B21" s="8" t="n">
        <v>30</v>
      </c>
    </row>
    <row r="22">
      <c r="A22" s="3" t="inlineStr">
        <is>
          <t>Section : hauteur h (cm)</t>
        </is>
      </c>
      <c r="B22" s="8" t="n">
        <v>30</v>
      </c>
    </row>
    <row r="23">
      <c r="A23" s="3" t="inlineStr">
        <is>
          <t>Coffrage d'un poteau ou d'une poutre (m²)</t>
        </is>
      </c>
      <c r="B23" s="12">
        <f>IF(B21*B22&gt;0,ROUND(B20*200*(B21+B22)/MAX(B21*B22,0.000001),2),0)</f>
        <v/>
      </c>
    </row>
    <row r="26">
      <c r="A26" s="3" t="inlineStr">
        <is>
          <t>Écart mesuré sur place (mm)</t>
        </is>
      </c>
      <c r="B26" s="7" t="n">
        <v>0</v>
      </c>
    </row>
    <row r="27">
      <c r="A27" s="3" t="inlineStr">
        <is>
          <t>Cas : 1 planéité brute, 2 planéité finie, 3 aplomb</t>
        </is>
      </c>
      <c r="B27" s="8" t="n">
        <v>1</v>
      </c>
    </row>
    <row r="28">
      <c r="A28" s="3" t="inlineStr">
        <is>
          <t>Exigence : 1 normale, 2 accrue</t>
        </is>
      </c>
      <c r="B28" s="8" t="n">
        <v>1</v>
      </c>
    </row>
    <row r="29">
      <c r="A29" s="3" t="inlineStr">
        <is>
          <t>Longueur de la règle (planéité) ou hauteur h (aplomb) (m)</t>
        </is>
      </c>
      <c r="B29" s="7" t="n">
        <v>2</v>
      </c>
    </row>
    <row r="30">
      <c r="A30" s="3" t="inlineStr">
        <is>
          <t>Tolérance saisie (mm), 0 pour utiliser le barème fourni (non vérifié dans la SIA 414/2)</t>
        </is>
      </c>
      <c r="B30" s="7" t="n">
        <v>0</v>
      </c>
    </row>
    <row r="31">
      <c r="A31" s="3" t="inlineStr">
        <is>
          <t>Tolérance du barème fourni (mm), 0 si hors barème</t>
        </is>
      </c>
      <c r="B31" s="15">
        <f>IF(B27=1,IF(B29=1,IF(B28=1,5,3),IF(B29=2,IF(B28=1,8,5),IF(B29=4,IF(B28=1,12,8),IF(B29=10,IF(B28=1,20,15),0)))),IF(B27=2,IF(B29=1,IF(B28=1,3,2),IF(B29=2,IF(B28=1,5,3),IF(B29=4,IF(B28=1,8,5),0))),IF(B27=3,IF(B29&lt;=3,IF(B28=1,8,5),IF(B29&lt;=6,IF(B28=1,12,8),0)),0)))</f>
        <v/>
      </c>
    </row>
    <row r="32">
      <c r="A32" s="3" t="inlineStr">
        <is>
          <t>Tolérance retenue (mm)</t>
        </is>
      </c>
      <c r="B32" s="15">
        <f>IF(B30&gt;0,B30,B31)</f>
        <v/>
      </c>
    </row>
    <row r="33">
      <c r="A33" s="3" t="inlineStr">
        <is>
          <t>Verdict (0 tolérance inconnue, 1 conforme, 2 hors tolérance)</t>
        </is>
      </c>
      <c r="B33" s="11">
        <f>IF(B32&gt;0,IF(ABS(B26)&lt;=B32,1,2),0)</f>
        <v/>
      </c>
    </row>
    <row r="34">
      <c r="A34" s="3" t="inlineStr">
        <is>
          <t>Marge (mm)</t>
        </is>
      </c>
      <c r="B34" s="12">
        <f>IF(B32&gt;0,ROUND(B32-ABS(B26),2),"")</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22"/>
  <sheetViews>
    <sheetView showGridLines="0" workbookViewId="0">
      <selection activeCell="A1" sqref="A1"/>
    </sheetView>
  </sheetViews>
  <sheetFormatPr baseColWidth="8" defaultRowHeight="15"/>
  <cols>
    <col width="22" customWidth="1" min="1" max="1"/>
    <col width="14" customWidth="1" min="2" max="2"/>
    <col width="34" customWidth="1" min="3" max="3"/>
    <col width="12" customWidth="1" min="4" max="4"/>
    <col width="18" customWidth="1" min="5" max="5"/>
    <col width="80" customWidth="1" min="6" max="6"/>
  </cols>
  <sheetData>
    <row r="1">
      <c r="A1" s="5" t="inlineStr">
        <is>
          <t>6.06 · Sortes de béton NPK (SN EN 206 + A2:2021) et enrobages du cahier des charges</t>
        </is>
      </c>
    </row>
    <row r="2">
      <c r="A2" s="6" t="inlineStr">
        <is>
          <t>Tableau officiel des sortes de béton (annexe NPK du CRB), granulat Dmax 32 mm, Cl 0,10, consistance C3. Enrobages nominaux : cahier des charges, non vérifiés dans la SIA 262.</t>
        </is>
      </c>
    </row>
    <row r="4">
      <c r="A4" s="10" t="inlineStr">
        <is>
          <t>Sorte</t>
        </is>
      </c>
      <c r="B4" s="10" t="inlineStr">
        <is>
          <t>Résistance</t>
        </is>
      </c>
      <c r="C4" s="10" t="inlineStr">
        <is>
          <t>Classes d'exposition</t>
        </is>
      </c>
      <c r="D4" s="10" t="inlineStr">
        <is>
          <t>E/C max.</t>
        </is>
      </c>
      <c r="E4" s="10" t="inlineStr">
        <is>
          <t>Ciment min. (kg/m³)</t>
        </is>
      </c>
      <c r="F4" s="10" t="inlineStr">
        <is>
          <t>Usage</t>
        </is>
      </c>
    </row>
    <row r="5">
      <c r="A5" s="3" t="inlineStr">
        <is>
          <t>Sorte 0</t>
        </is>
      </c>
      <c r="B5" s="3" t="inlineStr">
        <is>
          <t>C12/15</t>
        </is>
      </c>
      <c r="C5" s="3" t="inlineStr">
        <is>
          <t>X0</t>
        </is>
      </c>
      <c r="D5" s="19" t="n"/>
      <c r="E5" s="20" t="n"/>
      <c r="F5" s="3" t="inlineStr">
        <is>
          <t>Béton non armé (propreté)</t>
        </is>
      </c>
    </row>
    <row r="6">
      <c r="A6" s="3" t="inlineStr">
        <is>
          <t>Sorte A</t>
        </is>
      </c>
      <c r="B6" s="3" t="inlineStr">
        <is>
          <t>C20/25</t>
        </is>
      </c>
      <c r="C6" s="3" t="inlineStr">
        <is>
          <t>XC1, XC2</t>
        </is>
      </c>
      <c r="D6" s="19" t="n">
        <v>0.65</v>
      </c>
      <c r="E6" s="20" t="n">
        <v>280</v>
      </c>
      <c r="F6" s="3" t="inlineStr">
        <is>
          <t>Bâtiment : béton intérieur ou enterré, humide rarement sec</t>
        </is>
      </c>
    </row>
    <row r="7">
      <c r="A7" s="3" t="inlineStr">
        <is>
          <t>Sorte B</t>
        </is>
      </c>
      <c r="B7" s="3" t="inlineStr">
        <is>
          <t>C25/30</t>
        </is>
      </c>
      <c r="C7" s="3" t="inlineStr">
        <is>
          <t>XC3</t>
        </is>
      </c>
      <c r="D7" s="19" t="n">
        <v>0.6</v>
      </c>
      <c r="E7" s="20" t="n">
        <v>280</v>
      </c>
      <c r="F7" s="3" t="inlineStr">
        <is>
          <t>Bâtiment : béton extérieur abrité de la pluie, local humide</t>
        </is>
      </c>
    </row>
    <row r="8">
      <c r="A8" s="3" t="inlineStr">
        <is>
          <t>Sorte C</t>
        </is>
      </c>
      <c r="B8" s="3" t="inlineStr">
        <is>
          <t>C30/37</t>
        </is>
      </c>
      <c r="C8" s="3" t="inlineStr">
        <is>
          <t>XC4, XF1</t>
        </is>
      </c>
      <c r="D8" s="19" t="n">
        <v>0.5</v>
      </c>
      <c r="E8" s="20" t="n">
        <v>300</v>
      </c>
      <c r="F8" s="3" t="inlineStr">
        <is>
          <t>Bâtiment : béton extérieur exposé aux intempéries, gel sans sel</t>
        </is>
      </c>
    </row>
    <row r="9">
      <c r="A9" s="3" t="inlineStr">
        <is>
          <t>Sorte D (T1)</t>
        </is>
      </c>
      <c r="B9" s="3" t="inlineStr">
        <is>
          <t>C25/30</t>
        </is>
      </c>
      <c r="C9" s="3" t="inlineStr">
        <is>
          <t>XC4, XD1, XF2, XF3, XD2a</t>
        </is>
      </c>
      <c r="D9" s="19" t="n">
        <v>0.5</v>
      </c>
      <c r="E9" s="20" t="n">
        <v>300</v>
      </c>
      <c r="F9" s="3" t="inlineStr">
        <is>
          <t>Génie civil : chlorures atmosphériques (XD1), gel avec sel de déverglaçage en saturation modérée (XF2) ou gel sans sel en forte saturation (XF3)</t>
        </is>
      </c>
    </row>
    <row r="10">
      <c r="A10" s="3" t="inlineStr">
        <is>
          <t>Sorte E (T2)</t>
        </is>
      </c>
      <c r="B10" s="3" t="inlineStr">
        <is>
          <t>C25/30</t>
        </is>
      </c>
      <c r="C10" s="3" t="inlineStr">
        <is>
          <t>XC4, XD1, XF4, XD2a</t>
        </is>
      </c>
      <c r="D10" s="19" t="n">
        <v>0.5</v>
      </c>
      <c r="E10" s="20" t="n">
        <v>300</v>
      </c>
      <c r="F10" s="3" t="inlineStr">
        <is>
          <t>Génie civil : chlorures (XD1), gel avec sel de déverglaçage en forte saturation (XF4)</t>
        </is>
      </c>
    </row>
    <row r="11">
      <c r="A11" s="3" t="inlineStr">
        <is>
          <t>Sorte F (T3)</t>
        </is>
      </c>
      <c r="B11" s="3" t="inlineStr">
        <is>
          <t>C30/37</t>
        </is>
      </c>
      <c r="C11" s="3" t="inlineStr">
        <is>
          <t>XC4, XD3, XF2, XD2b</t>
        </is>
      </c>
      <c r="D11" s="19" t="n">
        <v>0.45</v>
      </c>
      <c r="E11" s="20" t="n">
        <v>320</v>
      </c>
      <c r="F11" s="3" t="inlineStr">
        <is>
          <t>Génie civil : alternance humide / sec avec chlorures (XD3), gel avec sel en saturation modérée (XF2)</t>
        </is>
      </c>
    </row>
    <row r="12">
      <c r="A12" s="3" t="inlineStr">
        <is>
          <t>Sorte G (T4)</t>
        </is>
      </c>
      <c r="B12" s="3" t="inlineStr">
        <is>
          <t>C30/37</t>
        </is>
      </c>
      <c r="C12" s="3" t="inlineStr">
        <is>
          <t>XC4, XD3, XF4, XD2b</t>
        </is>
      </c>
      <c r="D12" s="19" t="n">
        <v>0.45</v>
      </c>
      <c r="E12" s="20" t="n">
        <v>320</v>
      </c>
      <c r="F12" s="3" t="inlineStr">
        <is>
          <t>Génie civil : chlorures (XD3) et gel avec sel en forte saturation (XF4)</t>
        </is>
      </c>
    </row>
    <row r="15">
      <c r="A15" s="10" t="inlineStr">
        <is>
          <t>Ouvrage</t>
        </is>
      </c>
      <c r="B15" s="10" t="n"/>
      <c r="C15" s="10" t="inlineStr">
        <is>
          <t>Sortes</t>
        </is>
      </c>
      <c r="D15" s="10" t="n"/>
      <c r="E15" s="10" t="inlineStr">
        <is>
          <t>Enrobage nominal</t>
        </is>
      </c>
      <c r="F15" s="10" t="inlineStr">
        <is>
          <t>Remarque</t>
        </is>
      </c>
    </row>
    <row r="16">
      <c r="A16" s="3" t="inlineStr">
        <is>
          <t>Béton de propreté non armé sous radier (5–10 cm)</t>
        </is>
      </c>
      <c r="C16" s="3" t="inlineStr">
        <is>
          <t>Sorte 0 (C12/15, X0)</t>
        </is>
      </c>
      <c r="E16" s="3" t="inlineStr">
        <is>
          <t>Sans objet (non armé)</t>
        </is>
      </c>
      <c r="F16" s="3" t="inlineStr">
        <is>
          <t>Dosage d'environ 150 à 200 kg de ciment par m³ (cahier).</t>
        </is>
      </c>
    </row>
    <row r="17">
      <c r="A17" s="3" t="inlineStr">
        <is>
          <t>Dalles intérieures, murs et poteaux intérieurs au sec</t>
        </is>
      </c>
      <c r="C17" s="3" t="inlineStr">
        <is>
          <t>Sorte A (C20/25, XC1, XC2)</t>
        </is>
      </c>
      <c r="E17" s="3" t="inlineStr">
        <is>
          <t>c_nom = 25 mm</t>
        </is>
      </c>
      <c r="F17" s="3" t="inlineStr">
        <is>
          <t>Classe C20/25 au minimum ; C25/30 usuelle selon le calcul statique.</t>
        </is>
      </c>
    </row>
    <row r="18">
      <c r="A18" s="3" t="inlineStr">
        <is>
          <t>Murs de sous-sol enterrés, fondations et radiers (contre terre)</t>
        </is>
      </c>
      <c r="C18" s="3" t="inlineStr">
        <is>
          <t>Sorte A (C20/25, XC1, XC2) ou Sorte C (C30/37, XC4, XF1)</t>
        </is>
      </c>
      <c r="E18" s="3" t="inlineStr">
        <is>
          <t>c_nom = 35 mm (40 à 50 mm si coulé directement contre terre)</t>
        </is>
      </c>
      <c r="F18" s="3" t="inlineStr">
        <is>
          <t>Sorte A (XC2 : humide, rarement sec) ; sorte C pour un béton étanche ou exposé au gel.</t>
        </is>
      </c>
    </row>
    <row r="19">
      <c r="A19" s="3" t="inlineStr">
        <is>
          <t>Éléments extérieurs abrités de la pluie (halle ouverte, local humide)</t>
        </is>
      </c>
      <c r="C19" s="3" t="inlineStr">
        <is>
          <t>Sorte B (C25/30, XC3)</t>
        </is>
      </c>
      <c r="E19" s="3" t="inlineStr">
        <is>
          <t>c_nom = 35 mm</t>
        </is>
      </c>
      <c r="F19" s="3" t="inlineStr">
        <is>
          <t>Sorte B (XC3 : humidité modérée).</t>
        </is>
      </c>
    </row>
    <row r="20">
      <c r="A20" s="3" t="inlineStr">
        <is>
          <t>Façades extérieures exposées au gel, balcons, acrotères (sans sel de déverglaçage)</t>
        </is>
      </c>
      <c r="C20" s="3" t="inlineStr">
        <is>
          <t>Sorte C (C30/37, XC4, XF1)</t>
        </is>
      </c>
      <c r="E20" s="3" t="inlineStr">
        <is>
          <t>c_nom = 35 à 40 mm</t>
        </is>
      </c>
      <c r="F20" s="3" t="inlineStr">
        <is>
          <t>Sorte C (XC4, XF1). La surface horizontale exposée au gel (XF3) relève de la sorte D.</t>
        </is>
      </c>
    </row>
    <row r="21">
      <c r="A21" s="3" t="inlineStr">
        <is>
          <t>Murs de soutènement routiers, rampes de garage et éléments exposés au brouillard salin</t>
        </is>
      </c>
      <c r="C21" s="3" t="inlineStr">
        <is>
          <t>Sorte D (T1) (C25/30, XC4, XD1, XF2, XF3, XD2a) ou Sorte E (T2) (C25/30, XC4, XD1, XF4, XD2a)</t>
        </is>
      </c>
      <c r="E21" s="3" t="inlineStr">
        <is>
          <t>c_nom = 45 mm</t>
        </is>
      </c>
      <c r="F21" s="3" t="inlineStr">
        <is>
          <t>Sorte D (XD1, XF2) ; sorte E si éclaboussures salines et forte sollicitation par le gel (XF4).</t>
        </is>
      </c>
    </row>
    <row r="22">
      <c r="A22" s="3" t="inlineStr">
        <is>
          <t>Dalles de parking souterrain, radiers de garage (sels apportés par les pneus en hiver)</t>
        </is>
      </c>
      <c r="C22" s="3" t="inlineStr">
        <is>
          <t>Sorte F (T3) (C30/37, XC4, XD3, XF2, XD2b) ou Sorte G (T4) (C30/37, XC4, XD3, XF4, XD2b)</t>
        </is>
      </c>
      <c r="E22" s="3" t="inlineStr">
        <is>
          <t>c_nom = 50 à 55 mm (protection de surface OS8 ou OS11 recommandée)</t>
        </is>
      </c>
      <c r="F22" s="3" t="inlineStr">
        <is>
          <t>Sorte F (XD3, XF2) ; sorte G si forte sollicitation par le gel avec sel (XF4).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2026-11-06T15:57:33Z</dcterms:created>
  <dcterms:modified xsi:type="dcterms:W3CDTF">2026-11-06T15:57:33Z</dcterms:modified>
</cp:coreProperties>
</file>