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À lire" sheetId="1" state="visible" r:id="rId1"/>
    <sheet name="Charpente (6.07)" sheetId="2" state="visible" r:id="rId2"/>
    <sheet name="Métal (6.08)" sheetId="3" state="visible" r:id="rId3"/>
    <sheet name="Étanchéité (6.09)" sheetId="4" state="visible" r:id="rId4"/>
    <sheet name="Couverture (6.10)" sheetId="5" state="visible" r:id="rId5"/>
    <sheet name="Ferblanterie (6.11)" sheetId="6" state="visible" r:id="rId6"/>
    <sheet name="ITE (6.12)" sheetId="7" state="visible" r:id="rId7"/>
    <sheet name="Échafaudage (6.13)" sheetId="8" state="visible" r:id="rId8"/>
    <sheet name="Fenêtres (6.14)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6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i val="1"/>
      <color rgb="0064748B"/>
      <sz val="10"/>
    </font>
    <font>
      <name val="Calibri"/>
      <color rgb="001E293B"/>
      <sz val="10"/>
    </font>
    <font>
      <name val="Calibri"/>
      <b val="1"/>
      <color rgb="001E293B"/>
      <sz val="10"/>
    </font>
    <font>
      <name val="Calibri"/>
      <b val="1"/>
      <color rgb="001D4ED8"/>
      <sz val="10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64" fontId="5" fillId="2" borderId="1" pivotButton="0" quotePrefix="0" xfId="0"/>
    <xf numFmtId="1" fontId="5" fillId="2" borderId="1" pivotButton="0" quotePrefix="0" xfId="0"/>
    <xf numFmtId="2" fontId="5" fillId="2" borderId="1" pivotButton="0" quotePrefix="0" xfId="0"/>
    <xf numFmtId="1" fontId="4" fillId="3" borderId="1" pivotButton="0" quotePrefix="0" xfId="0"/>
    <xf numFmtId="165" fontId="4" fillId="3" borderId="1" pivotButton="0" quotePrefix="0" xfId="0"/>
    <xf numFmtId="166" fontId="4" fillId="3" borderId="1" pivotButton="0" quotePrefix="0" xfId="0"/>
    <xf numFmtId="164" fontId="4" fillId="3" borderId="1" pivotButton="0" quotePrefix="0" xfId="0"/>
    <xf numFmtId="166" fontId="5" fillId="2" borderId="1" pivotButton="0" quotePrefix="0" xfId="0"/>
    <xf numFmtId="2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ACIP 2026 : normes SIA et calculateurs par corps de métier, accordéon B (Pilier 6, chapitres 07 à 14)</t>
        </is>
      </c>
    </row>
    <row r="2">
      <c r="A2" s="2" t="inlineStr">
        <is>
          <t>Art Construction Index de Prix · art-construction.ch/outils/ · classeur de référence des outils 6.07 à 6.14</t>
        </is>
      </c>
    </row>
    <row r="3">
      <c r="A3" s="3" t="inlineStr"/>
    </row>
    <row r="4">
      <c r="A4" s="4" t="inlineStr">
        <is>
          <t>Contenu</t>
        </is>
      </c>
    </row>
    <row r="5">
      <c r="A5" s="3" t="inlineStr">
        <is>
          <t>• Charpente bois (6.07) : chevrons, pannes, cubage, poids et pré-vérification empirique de la hauteur et de la flèche.</t>
        </is>
      </c>
    </row>
    <row r="6">
      <c r="A6" s="3" t="inlineStr">
        <is>
          <t>• Métal (6.08) : conformité d'un garde-corps (SIA 358), poids et surface des profilés IPE, HEA, HEB et des tubes ROR / RKR.</t>
        </is>
      </c>
    </row>
    <row r="7">
      <c r="A7" s="3" t="inlineStr">
        <is>
          <t>• Étanchéité (6.09) : pente, relevés, seuil de porte-fenêtre, lestage et évacuations d'une toiture plate (SIA 271).</t>
        </is>
      </c>
    </row>
    <row r="8">
      <c r="A8" s="3" t="inlineStr">
        <is>
          <t>• Couverture (6.10) : rampant, tuiles, liteaux, contre-lattage et sous-toiture (SIA 232/1).</t>
        </is>
      </c>
    </row>
    <row r="9">
      <c r="A9" s="3" t="inlineStr">
        <is>
          <t>• Ferblanterie (6.11) : débit, descente, gouttière et dilatation thermique (SIA 232/2).</t>
        </is>
      </c>
    </row>
    <row r="10">
      <c r="A10" s="3" t="inlineStr">
        <is>
          <t>• ITE (6.12) : quantités d'isolation périphérique crépie et protection incendie (SIA 243 / AEAI).</t>
        </is>
      </c>
    </row>
    <row r="11">
      <c r="A11" s="3" t="inlineStr">
        <is>
          <t>• Échafaudage (6.13) : métré CAN 114 et amarrages d'un échafaudage de façade.</t>
        </is>
      </c>
    </row>
    <row r="12">
      <c r="A12" s="3" t="inlineStr">
        <is>
          <t>• Fenêtres (6.14) : coefficient Uw (SN EN ISO 10077-1) et verre de sécurité (SIGaB 002).</t>
        </is>
      </c>
    </row>
    <row r="13">
      <c r="A13" s="3" t="inlineStr"/>
    </row>
    <row r="14">
      <c r="A14" s="4" t="inlineStr">
        <is>
          <t>Avertissement</t>
        </is>
      </c>
    </row>
    <row r="15">
      <c r="A15" s="3" t="inlineStr">
        <is>
          <t>Les cellules jaunes sont à saisir ; les cellules bleues sont des formules. Les masses volumiques et la règle de hauteur de la charpente, les règles du garde-corps (SIA 358), la pente, les relevés et le seuil de la SIA 271, les pentes minimales et la classe de sous-toiture de la SIA 232/1, les seuils de descente et les distances entre joints de la SIA 232/2, les consommations et règles incendie de l'ITE, les majorations du CAN 114 et la grille d'amarrage, les seuils Uw et Ug et la règle du 1,00 m des vitrages sont des valeurs du cahier des charges, à vérifier dans les textes en vigueur. Hypothèses de l'outil : surface par naissance d'eaux pluviales (120 m²), pente minimale et pureau des ardoises, appariement gouttière / descente, primaire de l'ITE. Écart de physique : les coefficients de dilatation sont exprimés en micromètres par mètre et par kelvin (le cahier écrit « mm/(m·100K) », dix fois trop). Textes lus : OTConst art. 22, 42, 43, 51, 55, 57 à 59. Information indicative qui ne remplace pas l'avis d'un ingénieur, d'un étancheur, d'un couvreur, d'un ferblantier ou d'un entrepreneur en échafaudages.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18" customWidth="1" min="2" max="2"/>
  </cols>
  <sheetData>
    <row r="1">
      <c r="A1" s="5" t="inlineStr">
        <is>
          <t>6.07 · Charpente bois : cubage, poids et pré-vérification empirique (SIA 265)</t>
        </is>
      </c>
    </row>
    <row r="2">
      <c r="A2" s="6" t="inlineStr">
        <is>
          <t>Cellules jaunes = à saisir. Masses volumiques, règle de hauteur (portée / 20, / 22 à 24) et flèches (L/300 à L/400) : valeurs du cahier des charges, non vérifiées dans la SIA 265. Poids = volume net × masse volumique.</t>
        </is>
      </c>
    </row>
    <row r="4">
      <c r="A4" s="3" t="inlineStr">
        <is>
          <t>Longueur de toiture (m)</t>
        </is>
      </c>
      <c r="B4" s="7" t="n">
        <v>12</v>
      </c>
    </row>
    <row r="5">
      <c r="A5" s="3" t="inlineStr">
        <is>
          <t>Largeur de rampant (m)</t>
        </is>
      </c>
      <c r="B5" s="7" t="n">
        <v>6.5</v>
      </c>
    </row>
    <row r="6">
      <c r="A6" s="3" t="inlineStr">
        <is>
          <t>Entraxe des chevrons (cm)</t>
        </is>
      </c>
      <c r="B6" s="8" t="n">
        <v>60</v>
      </c>
    </row>
    <row r="7">
      <c r="A7" s="3" t="inlineStr">
        <is>
          <t>Chevrons : largeur (cm)</t>
        </is>
      </c>
      <c r="B7" s="7" t="n">
        <v>8</v>
      </c>
    </row>
    <row r="8">
      <c r="A8" s="3" t="inlineStr">
        <is>
          <t>Chevrons : hauteur (cm)</t>
        </is>
      </c>
      <c r="B8" s="7" t="n">
        <v>18</v>
      </c>
    </row>
    <row r="9">
      <c r="A9" s="3" t="inlineStr">
        <is>
          <t>Nombre de pannes</t>
        </is>
      </c>
      <c r="B9" s="8" t="n">
        <v>5</v>
      </c>
    </row>
    <row r="10">
      <c r="A10" s="3" t="inlineStr">
        <is>
          <t>Pannes : largeur (cm)</t>
        </is>
      </c>
      <c r="B10" s="7" t="n">
        <v>16</v>
      </c>
    </row>
    <row r="11">
      <c r="A11" s="3" t="inlineStr">
        <is>
          <t>Pannes : hauteur (cm)</t>
        </is>
      </c>
      <c r="B11" s="7" t="n">
        <v>28</v>
      </c>
    </row>
    <row r="12">
      <c r="A12" s="3" t="inlineStr">
        <is>
          <t>Masse volumique (kg/m³)</t>
        </is>
      </c>
      <c r="B12" s="8" t="n">
        <v>420</v>
      </c>
    </row>
    <row r="13">
      <c r="A13" s="3" t="inlineStr">
        <is>
          <t>Perte de coupe (%)</t>
        </is>
      </c>
      <c r="B13" s="7" t="n">
        <v>8</v>
      </c>
    </row>
    <row r="14">
      <c r="A14" s="3" t="inlineStr">
        <is>
          <t>Portée des chevrons entre appuis (m)</t>
        </is>
      </c>
      <c r="B14" s="9" t="n">
        <v>3.25</v>
      </c>
    </row>
    <row r="15">
      <c r="A15" s="3" t="inlineStr">
        <is>
          <t>Portée des pannes entre appuis (m)</t>
        </is>
      </c>
      <c r="B15" s="9" t="n">
        <v>4</v>
      </c>
    </row>
    <row r="16">
      <c r="A16" s="3" t="inlineStr">
        <is>
          <t>Bois massif (1) ou lamellé-collé (0)</t>
        </is>
      </c>
      <c r="B16" s="8" t="n">
        <v>1</v>
      </c>
    </row>
    <row r="18">
      <c r="A18" s="3" t="inlineStr">
        <is>
          <t>Nombre de chevrons = plafond(longueur / entraxe) + 1</t>
        </is>
      </c>
      <c r="B18" s="10">
        <f>IF(AND(B4&gt;0,B6&gt;0),ROUNDUP(ROUND(B4/(B6/100),6),0)+1,0)</f>
        <v/>
      </c>
    </row>
    <row r="19">
      <c r="A19" s="3" t="inlineStr">
        <is>
          <t>Volume net des chevrons, non arrondi (m³)</t>
        </is>
      </c>
      <c r="B19" s="11">
        <f>B18*(B7/100*(B8/100)*B5)</f>
        <v/>
      </c>
    </row>
    <row r="20">
      <c r="A20" s="3" t="inlineStr">
        <is>
          <t>Volume net des pannes, non arrondi (m³)</t>
        </is>
      </c>
      <c r="B20" s="11">
        <f>ROUND(MAX(B9,0),0)*(B10/100*(B11/100))*B4</f>
        <v/>
      </c>
    </row>
    <row r="21">
      <c r="A21" s="3" t="inlineStr">
        <is>
          <t>Chevrons, net (m³)</t>
        </is>
      </c>
      <c r="B21" s="12">
        <f>ROUND(B19,3)</f>
        <v/>
      </c>
    </row>
    <row r="22">
      <c r="A22" s="3" t="inlineStr">
        <is>
          <t>Chevrons, brut (m³)</t>
        </is>
      </c>
      <c r="B22" s="12">
        <f>ROUND(B19*(1+B13/100),3)</f>
        <v/>
      </c>
    </row>
    <row r="23">
      <c r="A23" s="3" t="inlineStr">
        <is>
          <t>Pannes, net (m³)</t>
        </is>
      </c>
      <c r="B23" s="12">
        <f>ROUND(B20,3)</f>
        <v/>
      </c>
    </row>
    <row r="24">
      <c r="A24" s="3" t="inlineStr">
        <is>
          <t>Pannes, brut (m³)</t>
        </is>
      </c>
      <c r="B24" s="12">
        <f>ROUND(B20*(1+B13/100),3)</f>
        <v/>
      </c>
    </row>
    <row r="25">
      <c r="A25" s="3" t="inlineStr">
        <is>
          <t>Volume net total (m³)</t>
        </is>
      </c>
      <c r="B25" s="12">
        <f>ROUND(B19+B20,3)</f>
        <v/>
      </c>
    </row>
    <row r="26">
      <c r="A26" s="3" t="inlineStr">
        <is>
          <t>Cubage à commander (m³)</t>
        </is>
      </c>
      <c r="B26" s="12">
        <f>ROUND((B19+B20)*(1+B13/100),3)</f>
        <v/>
      </c>
    </row>
    <row r="27">
      <c r="A27" s="3" t="inlineStr">
        <is>
          <t>Poids de la charpente (kg)</t>
        </is>
      </c>
      <c r="B27" s="10">
        <f>ROUND((B19+B20)*B12,0)</f>
        <v/>
      </c>
    </row>
    <row r="28">
      <c r="A28" s="3" t="inlineStr">
        <is>
          <t>Hauteur de chevron recommandée, bas (cm)</t>
        </is>
      </c>
      <c r="B28" s="13">
        <f>ROUND(IF(B16=1,B14*100/20,B14*100/24),1)</f>
        <v/>
      </c>
    </row>
    <row r="29">
      <c r="A29" s="3" t="inlineStr">
        <is>
          <t>Hauteur de chevron recommandée, haut (cm)</t>
        </is>
      </c>
      <c r="B29" s="13">
        <f>ROUND(IF(B16=1,B14*100/20,B14*100/22),1)</f>
        <v/>
      </c>
    </row>
    <row r="30">
      <c r="A30" s="3" t="inlineStr">
        <is>
          <t>Hauteur de panne recommandée, bas (cm)</t>
        </is>
      </c>
      <c r="B30" s="13">
        <f>ROUND(IF(B16=1,B15*100/20,B15*100/24),1)</f>
        <v/>
      </c>
    </row>
    <row r="31">
      <c r="A31" s="3" t="inlineStr">
        <is>
          <t>Hauteur de panne recommandée, haut (cm)</t>
        </is>
      </c>
      <c r="B31" s="13">
        <f>ROUND(IF(B16=1,B15*100/20,B15*100/22),1)</f>
        <v/>
      </c>
    </row>
    <row r="32">
      <c r="A32" s="3" t="inlineStr">
        <is>
          <t>Flèche limite des chevrons L/300 (mm)</t>
        </is>
      </c>
      <c r="B32" s="13">
        <f>ROUND(B14*1000/300,1)</f>
        <v/>
      </c>
    </row>
    <row r="33">
      <c r="A33" s="3" t="inlineStr">
        <is>
          <t>Flèche limite des chevrons L/400 (mm)</t>
        </is>
      </c>
      <c r="B33" s="13">
        <f>ROUND(B14*1000/400,1)</f>
        <v/>
      </c>
    </row>
    <row r="34">
      <c r="A34" s="3" t="inlineStr">
        <is>
          <t>Flèche limite des pannes L/300 (mm)</t>
        </is>
      </c>
      <c r="B34" s="13">
        <f>ROUND(B15*1000/300,1)</f>
        <v/>
      </c>
    </row>
    <row r="35">
      <c r="A35" s="3" t="inlineStr">
        <is>
          <t>Flèche limite des pannes L/400 (mm)</t>
        </is>
      </c>
      <c r="B35" s="13">
        <f>ROUND(B15*1000/400,1)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3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18" customWidth="1" min="2" max="2"/>
  </cols>
  <sheetData>
    <row r="1">
      <c r="A1" s="5" t="inlineStr">
        <is>
          <t>6.08 · Garde-corps (SIA 358) et poids des profilés acier (SN EN 1090)</t>
        </is>
      </c>
    </row>
    <row r="2">
      <c r="A2" s="6" t="inlineStr">
        <is>
          <t>Cellules jaunes = à saisir. Garde-corps : règles du cahier des charges (seuil de 1,00 m, 100 / 110 cm, ouverture de 12 cm), SIA 358 non consultée. Masses IPE / HEA / HEB : EN 10365 ; tubes : calculés (rond exact, rectangulaire à angles vifs).</t>
        </is>
      </c>
    </row>
    <row r="4">
      <c r="A4" s="3" t="inlineStr">
        <is>
          <t>Hauteur de chute (m)</t>
        </is>
      </c>
      <c r="B4" s="9" t="n">
        <v>3.5</v>
      </c>
    </row>
    <row r="5">
      <c r="A5" s="3" t="inlineStr">
        <is>
          <t>Bâtiment accessible aux enfants (1 oui, 0 non)</t>
        </is>
      </c>
      <c r="B5" s="8" t="n">
        <v>1</v>
      </c>
    </row>
    <row r="6">
      <c r="A6" s="3" t="inlineStr">
        <is>
          <t>Hauteur de chute &gt; 12 m, escalier ou coursive publique (1 oui, 0 non)</t>
        </is>
      </c>
      <c r="B6" s="8" t="n">
        <v>0</v>
      </c>
    </row>
    <row r="7">
      <c r="A7" s="3" t="inlineStr">
        <is>
          <t>Remplissage (1 barreaudage, 2 panneau plein / VSG, 3 éléments horizontaux / câbles)</t>
        </is>
      </c>
      <c r="B7" s="8" t="n">
        <v>1</v>
      </c>
    </row>
    <row r="8">
      <c r="A8" s="3" t="inlineStr">
        <is>
          <t>Hauteur du garde-corps projeté (cm)</t>
        </is>
      </c>
      <c r="B8" s="8" t="n">
        <v>100</v>
      </c>
    </row>
    <row r="9">
      <c r="A9" s="3" t="inlineStr">
        <is>
          <t>Ouverture maximale entre barreaux (cm)</t>
        </is>
      </c>
      <c r="B9" s="7" t="n">
        <v>11</v>
      </c>
    </row>
    <row r="11">
      <c r="A11" s="3" t="inlineStr">
        <is>
          <t>Garde-corps obligatoire (1 oui) : chute &gt;= 1.0 m</t>
        </is>
      </c>
      <c r="B11" s="10">
        <f>IF(B4&gt;=1.0,1,0)</f>
        <v/>
      </c>
    </row>
    <row r="12">
      <c r="A12" s="3" t="inlineStr">
        <is>
          <t>Hauteur minimale (cm)</t>
        </is>
      </c>
      <c r="B12" s="10">
        <f>IF(OR(B4&gt;12.0,B6=1),110,100)</f>
        <v/>
      </c>
    </row>
    <row r="13">
      <c r="A13" s="3" t="inlineStr">
        <is>
          <t>Hauteur conforme (1 oui)</t>
        </is>
      </c>
      <c r="B13" s="10">
        <f>IF(B8&gt;=B12,1,0)</f>
        <v/>
      </c>
    </row>
    <row r="14">
      <c r="A14" s="3" t="inlineStr">
        <is>
          <t>Ouverture conforme (1 oui) : 12 cm au plus</t>
        </is>
      </c>
      <c r="B14" s="10">
        <f>IF(B7=2,1,IF(B9&lt;=12,1,0))</f>
        <v/>
      </c>
    </row>
    <row r="15">
      <c r="A15" s="3" t="inlineStr">
        <is>
          <t>Pas d'effet d'échelle (1 oui)</t>
        </is>
      </c>
      <c r="B15" s="10">
        <f>IF(AND(B7=3,B5=1),0,1)</f>
        <v/>
      </c>
    </row>
    <row r="16">
      <c r="A16" s="3" t="inlineStr">
        <is>
          <t>Garde-corps conforme (1 oui)</t>
        </is>
      </c>
      <c r="B16" s="10">
        <f>IF(B11=0,1,IF(AND(B13=1,B14=1,B15=1),1,0))</f>
        <v/>
      </c>
    </row>
    <row r="20">
      <c r="A20" s="3" t="inlineStr">
        <is>
          <t>Profilé du tableau : masse linéique (kg/m)</t>
        </is>
      </c>
      <c r="B20" s="7" t="n">
        <v>22.4</v>
      </c>
    </row>
    <row r="21">
      <c r="A21" s="3" t="inlineStr">
        <is>
          <t>Profilé du tableau : surface par mètre (m²/m)</t>
        </is>
      </c>
      <c r="B21" s="14" t="n">
        <v>0.768</v>
      </c>
    </row>
    <row r="22">
      <c r="A22" s="3" t="inlineStr">
        <is>
          <t>Longueur (ml)</t>
        </is>
      </c>
      <c r="B22" s="7" t="n">
        <v>12</v>
      </c>
    </row>
    <row r="23">
      <c r="A23" s="3" t="inlineStr">
        <is>
          <t>Poids du profilé (kg)</t>
        </is>
      </c>
      <c r="B23" s="13">
        <f>ROUND(B20*B22,1)</f>
        <v/>
      </c>
    </row>
    <row r="24">
      <c r="A24" s="3" t="inlineStr">
        <is>
          <t>Surface à traiter (m²)</t>
        </is>
      </c>
      <c r="B24" s="15">
        <f>ROUND(B21*B22,2)</f>
        <v/>
      </c>
    </row>
    <row r="27">
      <c r="A27" s="3" t="inlineStr">
        <is>
          <t>Tube rond ROR : diamètre extérieur (mm)</t>
        </is>
      </c>
      <c r="B27" s="7" t="n">
        <v>48.3</v>
      </c>
    </row>
    <row r="28">
      <c r="A28" s="3" t="inlineStr">
        <is>
          <t>Tube rond ROR : épaisseur (mm)</t>
        </is>
      </c>
      <c r="B28" s="7" t="n">
        <v>3.2</v>
      </c>
    </row>
    <row r="29">
      <c r="A29" s="3" t="inlineStr">
        <is>
          <t>Longueur (ml)</t>
        </is>
      </c>
      <c r="B29" s="7" t="n">
        <v>10</v>
      </c>
    </row>
    <row r="30">
      <c r="A30" s="3" t="inlineStr">
        <is>
          <t>Masse linéique (kg/m) = π × t × (D − t) × 7850</t>
        </is>
      </c>
      <c r="B30" s="15">
        <f>ROUND(PI()*B28*(B27-B28)*7850*0.000001,2)</f>
        <v/>
      </c>
    </row>
    <row r="31">
      <c r="A31" s="3" t="inlineStr">
        <is>
          <t>Surface par mètre (m²/m)</t>
        </is>
      </c>
      <c r="B31" s="12">
        <f>ROUND(PI()*B27/1000,3)</f>
        <v/>
      </c>
    </row>
    <row r="32">
      <c r="A32" s="3" t="inlineStr">
        <is>
          <t>Poids (kg)</t>
        </is>
      </c>
      <c r="B32" s="13">
        <f>ROUND(B30*B29,1)</f>
        <v/>
      </c>
    </row>
    <row r="33">
      <c r="A33" s="3" t="inlineStr">
        <is>
          <t>Surface (m²)</t>
        </is>
      </c>
      <c r="B33" s="15">
        <f>ROUND(B31*B29,2)</f>
        <v/>
      </c>
    </row>
    <row r="36">
      <c r="A36" s="3" t="inlineStr">
        <is>
          <t>Tube RKR : côté b (mm)</t>
        </is>
      </c>
      <c r="B36" s="7" t="n">
        <v>40</v>
      </c>
    </row>
    <row r="37">
      <c r="A37" s="3" t="inlineStr">
        <is>
          <t>Tube RKR : côté h (mm)</t>
        </is>
      </c>
      <c r="B37" s="7" t="n">
        <v>40</v>
      </c>
    </row>
    <row r="38">
      <c r="A38" s="3" t="inlineStr">
        <is>
          <t>Tube RKR : épaisseur (mm)</t>
        </is>
      </c>
      <c r="B38" s="7" t="n">
        <v>3</v>
      </c>
    </row>
    <row r="39">
      <c r="A39" s="3" t="inlineStr">
        <is>
          <t>Longueur (ml)</t>
        </is>
      </c>
      <c r="B39" s="7" t="n">
        <v>10</v>
      </c>
    </row>
    <row r="40">
      <c r="A40" s="3" t="inlineStr">
        <is>
          <t>Masse linéique (kg/m), angles vifs</t>
        </is>
      </c>
      <c r="B40" s="15">
        <f>ROUND(2*B38*(B36+B37-2*B38)*7850*0.000001,2)</f>
        <v/>
      </c>
    </row>
    <row r="41">
      <c r="A41" s="3" t="inlineStr">
        <is>
          <t>Surface par mètre (m²/m)</t>
        </is>
      </c>
      <c r="B41" s="12">
        <f>ROUND(2*(B36+B37)/1000,3)</f>
        <v/>
      </c>
    </row>
    <row r="42">
      <c r="A42" s="3" t="inlineStr">
        <is>
          <t>Poids (kg)</t>
        </is>
      </c>
      <c r="B42" s="13">
        <f>ROUND(B40*B39,1)</f>
        <v/>
      </c>
    </row>
    <row r="43">
      <c r="A43" s="3" t="inlineStr">
        <is>
          <t>Surface (m²)</t>
        </is>
      </c>
      <c r="B43" s="15">
        <f>ROUND(B41*B39,2)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18" customWidth="1" min="2" max="2"/>
  </cols>
  <sheetData>
    <row r="1">
      <c r="A1" s="5" t="inlineStr">
        <is>
          <t>6.09 · Étanchéité de toiture plate : pente, relevés, seuil, lestage et évacuations (SIA 271)</t>
        </is>
      </c>
    </row>
    <row r="2">
      <c r="A2" s="6" t="inlineStr">
        <is>
          <t>Cellules jaunes = à saisir. Pente de 1,5 %, relevé de 120 mm, seuil de 60 mm (25 mm avec caniveau) : cahier des charges, SIA 271 non consultée. Surface par naissance : hypothèse de l'outil.</t>
        </is>
      </c>
    </row>
    <row r="4">
      <c r="A4" s="3" t="inlineStr">
        <is>
          <t>Surface de la toiture (m²)</t>
        </is>
      </c>
      <c r="B4" s="7" t="n">
        <v>180</v>
      </c>
    </row>
    <row r="5">
      <c r="A5" s="3" t="inlineStr">
        <is>
          <t>Périmètre des relevés (ml)</t>
        </is>
      </c>
      <c r="B5" s="7" t="n">
        <v>60</v>
      </c>
    </row>
    <row r="6">
      <c r="A6" s="3" t="inlineStr">
        <is>
          <t>Pente prévue (%)</t>
        </is>
      </c>
      <c r="B6" s="7" t="n">
        <v>1.8</v>
      </c>
    </row>
    <row r="7">
      <c r="A7" s="3" t="inlineStr">
        <is>
          <t>Relevé au-dessus de la protection (mm)</t>
        </is>
      </c>
      <c r="B7" s="8" t="n">
        <v>120</v>
      </c>
    </row>
    <row r="8">
      <c r="A8" s="3" t="inlineStr">
        <is>
          <t>Relevé au seuil de porte-fenêtre (mm)</t>
        </is>
      </c>
      <c r="B8" s="8" t="n">
        <v>60</v>
      </c>
    </row>
    <row r="9">
      <c r="A9" s="3" t="inlineStr">
        <is>
          <t>Poids minimal du lestage (kg/m²)</t>
        </is>
      </c>
      <c r="B9" s="8" t="n">
        <v>85</v>
      </c>
    </row>
    <row r="10">
      <c r="A10" s="3" t="inlineStr">
        <is>
          <t>Poids maximal du lestage (kg/m²)</t>
        </is>
      </c>
      <c r="B10" s="8" t="n">
        <v>90</v>
      </c>
    </row>
    <row r="11">
      <c r="A11" s="3" t="inlineStr">
        <is>
          <t>Caniveau à grille au seuil (1 oui, 0 non)</t>
        </is>
      </c>
      <c r="B11" s="8" t="n">
        <v>0</v>
      </c>
    </row>
    <row r="12">
      <c r="A12" s="3" t="inlineStr">
        <is>
          <t>Nombre de bassins versants</t>
        </is>
      </c>
      <c r="B12" s="8" t="n">
        <v>1</v>
      </c>
    </row>
    <row r="13">
      <c r="A13" s="3" t="inlineStr">
        <is>
          <t>Surface reprise par une naissance (m²)</t>
        </is>
      </c>
      <c r="B13" s="8" t="n">
        <v>120</v>
      </c>
    </row>
    <row r="15">
      <c r="A15" s="3" t="inlineStr">
        <is>
          <t>Pente conforme (1 oui) : au moins 1.5 %</t>
        </is>
      </c>
      <c r="B15" s="10">
        <f>IF(B6&gt;=1.5,1,0)</f>
        <v/>
      </c>
    </row>
    <row r="16">
      <c r="A16" s="3" t="inlineStr">
        <is>
          <t>Pente en mm par mètre</t>
        </is>
      </c>
      <c r="B16" s="13">
        <f>ROUND(B6*10,1)</f>
        <v/>
      </c>
    </row>
    <row r="17">
      <c r="A17" s="3" t="inlineStr">
        <is>
          <t>Relevé conforme (1 oui) : au moins 120 mm</t>
        </is>
      </c>
      <c r="B17" s="10">
        <f>IF(B7&gt;=120,1,0)</f>
        <v/>
      </c>
    </row>
    <row r="18">
      <c r="A18" s="3" t="inlineStr">
        <is>
          <t>Seuil (1 conforme, 2 abaissé avec caniveau, 3 abaissé sans caniveau, 4 non conforme)</t>
        </is>
      </c>
      <c r="B18" s="10">
        <f>IF(B8&gt;=60,1,IF(B8&lt;=25,IF(B11=1,2,3),4))</f>
        <v/>
      </c>
    </row>
    <row r="19">
      <c r="A19" s="3" t="inlineStr">
        <is>
          <t>Lestage minimal (t)</t>
        </is>
      </c>
      <c r="B19" s="15">
        <f>ROUND(B4*B9/1000,2)</f>
        <v/>
      </c>
    </row>
    <row r="20">
      <c r="A20" s="3" t="inlineStr">
        <is>
          <t>Lestage maximal (t)</t>
        </is>
      </c>
      <c r="B20" s="15">
        <f>ROUND(B4*B10/1000,2)</f>
        <v/>
      </c>
    </row>
    <row r="21">
      <c r="A21" s="3" t="inlineStr">
        <is>
          <t>Big-bags de 1,0 t</t>
        </is>
      </c>
      <c r="B21" s="10">
        <f>ROUNDUP(ROUND(B4*B10/1000/1.0,6),0)</f>
        <v/>
      </c>
    </row>
    <row r="22">
      <c r="A22" s="3" t="inlineStr">
        <is>
          <t>Naissances d'eaux pluviales</t>
        </is>
      </c>
      <c r="B22" s="10">
        <f>MAX(MAX(1,ROUND(MAX(B12,0),0)),ROUNDUP(ROUND(B4/MAX(1,B13),6),0))</f>
        <v/>
      </c>
    </row>
    <row r="23">
      <c r="A23" s="3" t="inlineStr">
        <is>
          <t>Trop-pleins de sécurité</t>
        </is>
      </c>
      <c r="B23" s="10">
        <f>MAX(1,ROUND(MAX(B12,0),0))</f>
        <v/>
      </c>
    </row>
    <row r="24">
      <c r="A24" s="3" t="inlineStr">
        <is>
          <t>Évacuations au total</t>
        </is>
      </c>
      <c r="B24" s="10">
        <f>B22+B23</f>
        <v/>
      </c>
    </row>
    <row r="25">
      <c r="A25" s="3" t="inlineStr">
        <is>
          <t>Surface des relevés (m²)</t>
        </is>
      </c>
      <c r="B25" s="15">
        <f>ROUND(B5*B7/1000,2)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18" customWidth="1" min="2" max="2"/>
  </cols>
  <sheetData>
    <row r="1">
      <c r="A1" s="5" t="inlineStr">
        <is>
          <t>6.10 · Couverture inclinée : rampant, tuiles, liteaux et sous-toiture (SIA 232/1)</t>
        </is>
      </c>
    </row>
    <row r="2">
      <c r="A2" s="6" t="inlineStr">
        <is>
          <t>Cellules jaunes = à saisir (modèle : terre cuite à emboîtement par défaut). Pentes minimales, pièces au m² et pureau : cahier des charges (ardoises : hypothèses de l'outil). Ventilation : repère d'usage, pas la SIA 232/1.</t>
        </is>
      </c>
    </row>
    <row r="4">
      <c r="A4" s="3" t="inlineStr">
        <is>
          <t>Surface projetée au sol (m²)</t>
        </is>
      </c>
      <c r="B4" s="7" t="n">
        <v>140</v>
      </c>
    </row>
    <row r="5">
      <c r="A5" s="3" t="inlineStr">
        <is>
          <t>Pente (degrés)</t>
        </is>
      </c>
      <c r="B5" s="7" t="n">
        <v>22</v>
      </c>
    </row>
    <row r="6">
      <c r="A6" s="3" t="inlineStr">
        <is>
          <t>Pièces au m², bas</t>
        </is>
      </c>
      <c r="B6" s="7" t="n">
        <v>12.5</v>
      </c>
    </row>
    <row r="7">
      <c r="A7" s="3" t="inlineStr">
        <is>
          <t>Pièces au m², haut</t>
        </is>
      </c>
      <c r="B7" s="7" t="n">
        <v>12.5</v>
      </c>
    </row>
    <row r="8">
      <c r="A8" s="3" t="inlineStr">
        <is>
          <t>Pureau (m), 0 si sans objet</t>
        </is>
      </c>
      <c r="B8" s="9" t="n">
        <v>0.34</v>
      </c>
    </row>
    <row r="9">
      <c r="A9" s="3" t="inlineStr">
        <is>
          <t>Pente minimale du modèle pour la sollicitation (degrés)</t>
        </is>
      </c>
      <c r="B9" s="7" t="n">
        <v>22</v>
      </c>
    </row>
    <row r="10">
      <c r="A10" s="3" t="inlineStr">
        <is>
          <t>Entraxe du contre-lattage (m)</t>
        </is>
      </c>
      <c r="B10" s="9" t="n">
        <v>0.6</v>
      </c>
    </row>
    <row r="11">
      <c r="A11" s="3" t="inlineStr">
        <is>
          <t>Sollicitation (0 normale, 1 élevée)</t>
        </is>
      </c>
      <c r="B11" s="8" t="n">
        <v>0</v>
      </c>
    </row>
    <row r="12">
      <c r="A12" s="3" t="inlineStr">
        <is>
          <t>Coefficient de casse et de coupes</t>
        </is>
      </c>
      <c r="B12" s="9" t="n">
        <v>1.05</v>
      </c>
    </row>
    <row r="13">
      <c r="A13" s="3" t="inlineStr">
        <is>
          <t>Marge admise sous la pente minimale (degrés)</t>
        </is>
      </c>
      <c r="B13" s="7" t="n">
        <v>5</v>
      </c>
    </row>
    <row r="14">
      <c r="A14" s="3" t="inlineStr">
        <is>
          <t>Entrée d'air à l'égout (pour mille du rampant)</t>
        </is>
      </c>
      <c r="B14" s="7" t="n">
        <v>2</v>
      </c>
    </row>
    <row r="15">
      <c r="A15" s="3" t="inlineStr">
        <is>
          <t>Sortie d'air au faîtage (pour mille du rampant)</t>
        </is>
      </c>
      <c r="B15" s="7" t="n">
        <v>0.5</v>
      </c>
    </row>
    <row r="17">
      <c r="A17" s="3" t="inlineStr">
        <is>
          <t>Pente en %</t>
        </is>
      </c>
      <c r="B17" s="13">
        <f>ROUND(TAN(MIN(89,MAX(0,B5))*PI()/180)*100,1)</f>
        <v/>
      </c>
    </row>
    <row r="18">
      <c r="A18" s="3" t="inlineStr">
        <is>
          <t>Rampant, non arrondi (m²)</t>
        </is>
      </c>
      <c r="B18" s="11">
        <f>B4/COS(MIN(89,MAX(0,B5))*PI()/180)</f>
        <v/>
      </c>
    </row>
    <row r="19">
      <c r="A19" s="3" t="inlineStr">
        <is>
          <t>Rampant (m²)</t>
        </is>
      </c>
      <c r="B19" s="15">
        <f>ROUND(B18,2)</f>
        <v/>
      </c>
    </row>
    <row r="20">
      <c r="A20" s="3" t="inlineStr">
        <is>
          <t>Tuiles ou pièces à commander</t>
        </is>
      </c>
      <c r="B20" s="10">
        <f>IF(B7&gt;0,ROUNDUP(ROUND(B18*B7*B12,6),0),0)</f>
        <v/>
      </c>
    </row>
    <row r="21">
      <c r="A21" s="3" t="inlineStr">
        <is>
          <t>Liteaux (ml)</t>
        </is>
      </c>
      <c r="B21" s="13">
        <f>IF(B8&gt;0,ROUND(B18/MAX(B8,0.000001),1),0)</f>
        <v/>
      </c>
    </row>
    <row r="22">
      <c r="A22" s="3" t="inlineStr">
        <is>
          <t>Contre-lattage (ml)</t>
        </is>
      </c>
      <c r="B22" s="13">
        <f>ROUND(B18/MAX(0.05,B10),1)</f>
        <v/>
      </c>
    </row>
    <row r="23">
      <c r="A23" s="3" t="inlineStr">
        <is>
          <t>Marge sur la pente minimale (degrés)</t>
        </is>
      </c>
      <c r="B23" s="13">
        <f>ROUND(MIN(89,MAX(0,B5))-B9,1)</f>
        <v/>
      </c>
    </row>
    <row r="24">
      <c r="A24" s="3" t="inlineStr">
        <is>
          <t>Sous-toiture (1 normale, 2 accrue, 3 extraordinaire, 4 pente trop faible)</t>
        </is>
      </c>
      <c r="B24" s="10">
        <f>IF(MIN(89,MAX(0,B5))-B9&lt;-B13,4,IF(MIN(89,MAX(0,B5))-B9&lt;0,3,IF(B11=1,2,1)))</f>
        <v/>
      </c>
    </row>
    <row r="25">
      <c r="A25" s="3" t="inlineStr">
        <is>
          <t>Entrée d'air à l'égout (cm²)</t>
        </is>
      </c>
      <c r="B25" s="10">
        <f>ROUND(B18*10000*B14/1000,0)</f>
        <v/>
      </c>
    </row>
    <row r="26">
      <c r="A26" s="3" t="inlineStr">
        <is>
          <t>Sortie d'air au faîtage (cm²)</t>
        </is>
      </c>
      <c r="B26" s="10">
        <f>ROUND(B18*10000*B15/1000,0)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18" customWidth="1" min="2" max="2"/>
  </cols>
  <sheetData>
    <row r="1">
      <c r="A1" s="5" t="inlineStr">
        <is>
          <t>6.11 · Ferblanterie : descentes, gouttières et dilatation thermique (SIA 232/2)</t>
        </is>
      </c>
    </row>
    <row r="2">
      <c r="A2" s="6" t="inlineStr">
        <is>
          <t>Cellules jaunes = à saisir. Seuils par diamètre du cahier (65 / 120 / 185 / 320 m²) ; appariement gouttière / descente : hypothèse de l'outil. α en micromètres par mètre et par kelvin (le cahier écrit « mm/(m·100K) » : dix fois trop).</t>
        </is>
      </c>
    </row>
    <row r="4">
      <c r="A4" s="3" t="inlineStr">
        <is>
          <t>Surface en plan reprise par une descente (m²)</t>
        </is>
      </c>
      <c r="B4" s="7" t="n">
        <v>95</v>
      </c>
    </row>
    <row r="5">
      <c r="A5" s="3" t="inlineStr">
        <is>
          <t>Intensité (l/(s·m²))</t>
        </is>
      </c>
      <c r="B5" s="14" t="n">
        <v>0.03</v>
      </c>
    </row>
    <row r="6">
      <c r="A6" s="3" t="inlineStr">
        <is>
          <t>Coefficient d'écoulement</t>
        </is>
      </c>
      <c r="B6" s="9" t="n">
        <v>1</v>
      </c>
    </row>
    <row r="7">
      <c r="A7" s="3" t="inlineStr">
        <is>
          <t>Intensité standard de référence (l/(s·m²))</t>
        </is>
      </c>
      <c r="B7" s="14" t="n">
        <v>0.03</v>
      </c>
    </row>
    <row r="9">
      <c r="A9" s="3" t="inlineStr">
        <is>
          <t>Surface équivalente à l'intensité standard (m²)</t>
        </is>
      </c>
      <c r="B9" s="11">
        <f>B4*(B5/B7)*B6</f>
        <v/>
      </c>
    </row>
    <row r="10">
      <c r="A10" s="3" t="inlineStr">
        <is>
          <t>Débit (l/s)</t>
        </is>
      </c>
      <c r="B10" s="15">
        <f>ROUND(B4*B5*B6,2)</f>
        <v/>
      </c>
    </row>
    <row r="11">
      <c r="A11" s="3" t="inlineStr">
        <is>
          <t>Nombre de descentes</t>
        </is>
      </c>
      <c r="B11" s="10">
        <f>IF(B9&lt;=320,1,ROUNDUP(ROUND(B9/320,6),0))</f>
        <v/>
      </c>
    </row>
    <row r="12">
      <c r="A12" s="3" t="inlineStr">
        <is>
          <t>Surface par descente (m²), non arrondie</t>
        </is>
      </c>
      <c r="B12" s="11">
        <f>B9/B11</f>
        <v/>
      </c>
    </row>
    <row r="13">
      <c r="A13" s="3" t="inlineStr">
        <is>
          <t>Diamètre de descente DN</t>
        </is>
      </c>
      <c r="B13" s="10">
        <f>IF(B12&lt;=65,80,IF(B12&lt;=120,100,IF(B12&lt;=185,120,150)))</f>
        <v/>
      </c>
    </row>
    <row r="14">
      <c r="A14" s="3" t="inlineStr">
        <is>
          <t>Développé de gouttière (mm)</t>
        </is>
      </c>
      <c r="B14" s="10">
        <f>IF(B12&lt;=65,250,IF(B12&lt;=120,333,400))</f>
        <v/>
      </c>
    </row>
    <row r="15">
      <c r="A15" s="3" t="inlineStr">
        <is>
          <t>Numéro de gouttière</t>
        </is>
      </c>
      <c r="B15" s="10">
        <f>IF(B12&lt;=65,25,IF(B12&lt;=120,33,40))</f>
        <v/>
      </c>
    </row>
    <row r="16">
      <c r="A16" s="3" t="inlineStr">
        <is>
          <t>Dépasse la capacité de la gouttière de 400 mm (1 oui)</t>
        </is>
      </c>
      <c r="B16" s="10">
        <f>IF(B12&gt;185,1,0)</f>
        <v/>
      </c>
    </row>
    <row r="17">
      <c r="A17" s="3" t="inlineStr">
        <is>
          <t>Surface équivalente (m²)</t>
        </is>
      </c>
      <c r="B17" s="15">
        <f>ROUND(B9,2)</f>
        <v/>
      </c>
    </row>
    <row r="20">
      <c r="A20" s="3" t="inlineStr">
        <is>
          <t>Coefficient de dilatation α (µm par mètre et par kelvin)</t>
        </is>
      </c>
      <c r="B20" s="7" t="n">
        <v>16.5</v>
      </c>
    </row>
    <row r="21">
      <c r="A21" s="3" t="inlineStr">
        <is>
          <t>Longueur (m)</t>
        </is>
      </c>
      <c r="B21" s="7" t="n">
        <v>10</v>
      </c>
    </row>
    <row r="22">
      <c r="A22" s="3" t="inlineStr">
        <is>
          <t>Écart de température ΔT (K)</t>
        </is>
      </c>
      <c r="B22" s="8" t="n">
        <v>100</v>
      </c>
    </row>
    <row r="23">
      <c r="A23" s="3" t="inlineStr">
        <is>
          <t>Allongement thermique (mm)</t>
        </is>
      </c>
      <c r="B23" s="15">
        <f>ROUND(B20*B21*MAX(B22,0)/1000,2)</f>
        <v/>
      </c>
    </row>
    <row r="24">
      <c r="A24" s="3" t="inlineStr">
        <is>
          <t>Joints, gouttière suspendue (au plus 10 m entre joints)</t>
        </is>
      </c>
      <c r="B24" s="10">
        <f>MAX(0,ROUNDUP(ROUND(B21/10,6),0)-1)</f>
        <v/>
      </c>
    </row>
    <row r="25">
      <c r="A25" s="3" t="inlineStr">
        <is>
          <t>Joints, chéneau encaissé (au plus 6 m entre joints)</t>
        </is>
      </c>
      <c r="B25" s="10">
        <f>MAX(0,ROUNDUP(ROUND(B21/6,6),0)-1)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18" customWidth="1" min="2" max="2"/>
  </cols>
  <sheetData>
    <row r="1">
      <c r="A1" s="5" t="inlineStr">
        <is>
          <t>6.12 · Isolation périphérique crépie : quantités et protection incendie (SIA 243 / AEAI)</t>
        </is>
      </c>
    </row>
    <row r="2">
      <c r="A2" s="6" t="inlineStr">
        <is>
          <t>Cellules jaunes = à saisir. Consommations et règles incendie du cahier des charges, non vérifiées (SIA 243 et directives AEAI non consultées) ; primaire : hypothèse de l'outil.</t>
        </is>
      </c>
    </row>
    <row r="4">
      <c r="A4" s="3" t="inlineStr">
        <is>
          <t>Surface nette de façade (m²)</t>
        </is>
      </c>
      <c r="B4" s="7" t="n">
        <v>220</v>
      </c>
    </row>
    <row r="5">
      <c r="A5" s="3" t="inlineStr">
        <is>
          <t>Périmètre des embrasures et angles (ml)</t>
        </is>
      </c>
      <c r="B5" s="7" t="n">
        <v>95</v>
      </c>
    </row>
    <row r="6">
      <c r="A6" s="3" t="inlineStr">
        <is>
          <t>Isolant combustible RF3 (1 oui, 0 incombustible RF1)</t>
        </is>
      </c>
      <c r="B6" s="8" t="n">
        <v>1</v>
      </c>
    </row>
    <row r="7">
      <c r="A7" s="3" t="inlineStr">
        <is>
          <t>Hauteur (1 faible &lt;= 11 m, 2 moyenne 11 à 30 m, 3 élevée &gt; 30 m)</t>
        </is>
      </c>
      <c r="B7" s="8" t="n">
        <v>1</v>
      </c>
    </row>
    <row r="8">
      <c r="A8" s="3" t="inlineStr">
        <is>
          <t>Établissement de soins ou hôpital (1 oui, 0 non)</t>
        </is>
      </c>
      <c r="B8" s="8" t="n">
        <v>0</v>
      </c>
    </row>
    <row r="9">
      <c r="A9" s="3" t="inlineStr">
        <is>
          <t>Chevilles par m², bas</t>
        </is>
      </c>
      <c r="B9" s="8" t="n">
        <v>6</v>
      </c>
    </row>
    <row r="10">
      <c r="A10" s="3" t="inlineStr">
        <is>
          <t>Chevilles par m², haut</t>
        </is>
      </c>
      <c r="B10" s="8" t="n">
        <v>6</v>
      </c>
    </row>
    <row r="11">
      <c r="A11" s="3" t="inlineStr">
        <is>
          <t>Crépi de finition (kg/m²)</t>
        </is>
      </c>
      <c r="B11" s="7" t="n">
        <v>3</v>
      </c>
    </row>
    <row r="12">
      <c r="A12" s="3" t="inlineStr">
        <is>
          <t>Indice de réflexion lumineuse HBW (%)</t>
        </is>
      </c>
      <c r="B12" s="8" t="n">
        <v>40</v>
      </c>
    </row>
    <row r="14">
      <c r="A14" s="3" t="inlineStr">
        <is>
          <t>Coefficient de chutes d'isolant</t>
        </is>
      </c>
      <c r="B14" s="9" t="n">
        <v>1.05</v>
      </c>
    </row>
    <row r="15">
      <c r="A15" s="3" t="inlineStr">
        <is>
          <t>Mortier-colle (kg/m²)</t>
        </is>
      </c>
      <c r="B15" s="7" t="n">
        <v>5</v>
      </c>
    </row>
    <row r="16">
      <c r="A16" s="3" t="inlineStr">
        <is>
          <t>Mortier d'enrobage (kg/m²)</t>
        </is>
      </c>
      <c r="B16" s="7" t="n">
        <v>5.5</v>
      </c>
    </row>
    <row r="17">
      <c r="A17" s="3" t="inlineStr">
        <is>
          <t>Coefficient du treillis (recouvrement de 10 cm)</t>
        </is>
      </c>
      <c r="B17" s="9" t="n">
        <v>1.12</v>
      </c>
    </row>
    <row r="18">
      <c r="A18" s="3" t="inlineStr">
        <is>
          <t>Primaire (kg/m², hypothèse)</t>
        </is>
      </c>
      <c r="B18" s="9" t="n">
        <v>0.25</v>
      </c>
    </row>
    <row r="19">
      <c r="A19" s="3" t="inlineStr">
        <is>
          <t>Seau de crépi (kg)</t>
        </is>
      </c>
      <c r="B19" s="8" t="n">
        <v>25</v>
      </c>
    </row>
    <row r="20">
      <c r="A20" s="3" t="inlineStr">
        <is>
          <t>HBW minimal (%)</t>
        </is>
      </c>
      <c r="B20" s="8" t="n">
        <v>20</v>
      </c>
    </row>
    <row r="22">
      <c r="A22" s="3" t="inlineStr">
        <is>
          <t>Isolant avec chutes (m²)</t>
        </is>
      </c>
      <c r="B22" s="15">
        <f>ROUND(B4*B14,2)</f>
        <v/>
      </c>
    </row>
    <row r="23">
      <c r="A23" s="3" t="inlineStr">
        <is>
          <t>Mortier-colle (kg)</t>
        </is>
      </c>
      <c r="B23" s="13">
        <f>ROUND(B4*B15,1)</f>
        <v/>
      </c>
    </row>
    <row r="24">
      <c r="A24" s="3" t="inlineStr">
        <is>
          <t>Mortier d'enrobage (kg)</t>
        </is>
      </c>
      <c r="B24" s="13">
        <f>ROUND(B4*B16,1)</f>
        <v/>
      </c>
    </row>
    <row r="25">
      <c r="A25" s="3" t="inlineStr">
        <is>
          <t>Treillis (m²)</t>
        </is>
      </c>
      <c r="B25" s="15">
        <f>ROUND(B4*B17,2)</f>
        <v/>
      </c>
    </row>
    <row r="26">
      <c r="A26" s="3" t="inlineStr">
        <is>
          <t>Chevilles, minimum</t>
        </is>
      </c>
      <c r="B26" s="10">
        <f>ROUNDUP(ROUND(B4*B9,6),0)</f>
        <v/>
      </c>
    </row>
    <row r="27">
      <c r="A27" s="3" t="inlineStr">
        <is>
          <t>Chevilles, maximum</t>
        </is>
      </c>
      <c r="B27" s="10">
        <f>ROUNDUP(ROUND(B4*B10,6),0)</f>
        <v/>
      </c>
    </row>
    <row r="28">
      <c r="A28" s="3" t="inlineStr">
        <is>
          <t>Primaire (kg)</t>
        </is>
      </c>
      <c r="B28" s="13">
        <f>ROUND(B4*B18,1)</f>
        <v/>
      </c>
    </row>
    <row r="29">
      <c r="A29" s="3" t="inlineStr">
        <is>
          <t>Crépi (kg)</t>
        </is>
      </c>
      <c r="B29" s="13">
        <f>ROUND(B4*B11,1)</f>
        <v/>
      </c>
    </row>
    <row r="30">
      <c r="A30" s="3" t="inlineStr">
        <is>
          <t>Seaux de crépi</t>
        </is>
      </c>
      <c r="B30" s="10">
        <f>ROUNDUP(ROUND(B4*B11/B19,6),0)</f>
        <v/>
      </c>
    </row>
    <row r="31">
      <c r="A31" s="3" t="inlineStr">
        <is>
          <t>Profilés d'angle et d'embrasure (ml)</t>
        </is>
      </c>
      <c r="B31" s="13">
        <f>ROUND(MAX(B5,0),1)</f>
        <v/>
      </c>
    </row>
    <row r="32">
      <c r="A32" s="3" t="inlineStr">
        <is>
          <t>Protection incendie (0 sans barrière, 1 incombustible, 2 bandes RF1, 3 incombustible obligatoire)</t>
        </is>
      </c>
      <c r="B32" s="10">
        <f>IF(B6=0,1,IF(OR(B8=1,B7=3),3,IF(B7=2,2,0)))</f>
        <v/>
      </c>
    </row>
    <row r="33">
      <c r="A33" s="3" t="inlineStr">
        <is>
          <t>Teinte conforme (1 oui)</t>
        </is>
      </c>
      <c r="B33" s="10">
        <f>IF(B12&gt;=B20,1,0)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18" customWidth="1" min="2" max="2"/>
  </cols>
  <sheetData>
    <row r="1">
      <c r="A1" s="5" t="inlineStr">
        <is>
          <t>6.13 · Échafaudage de façade : métré (CAN 114) et amarrages</t>
        </is>
      </c>
    </row>
    <row r="2">
      <c r="A2" s="6" t="inlineStr">
        <is>
          <t>Cellules jaunes = à saisir. Majorations du CAN 114 et grille d'amarrage du cahier des charges (CAN 114 et SIA 222 non consultés). OTConst : art. 42, 43, 51, 55, 57 à 59 (texte lu).</t>
        </is>
      </c>
    </row>
    <row r="4">
      <c r="A4" s="3" t="inlineStr">
        <is>
          <t>Longueur de la façade (m)</t>
        </is>
      </c>
      <c r="B4" s="7" t="n">
        <v>20</v>
      </c>
    </row>
    <row r="5">
      <c r="A5" s="3" t="inlineStr">
        <is>
          <t>Hauteur de la façade (m)</t>
        </is>
      </c>
      <c r="B5" s="7" t="n">
        <v>9</v>
      </c>
    </row>
    <row r="6">
      <c r="A6" s="3" t="inlineStr">
        <is>
          <t>Angles extérieurs</t>
        </is>
      </c>
      <c r="B6" s="8" t="n">
        <v>4</v>
      </c>
    </row>
    <row r="7">
      <c r="A7" s="3" t="inlineStr">
        <is>
          <t>Surface par amarrage (m²) : 24 nu, 16 filet, 12 bâche</t>
        </is>
      </c>
      <c r="B7" s="8" t="n">
        <v>24</v>
      </c>
    </row>
    <row r="8">
      <c r="A8" s="3" t="inlineStr">
        <is>
          <t>Majoration par angle (m)</t>
        </is>
      </c>
      <c r="B8" s="9" t="n">
        <v>1</v>
      </c>
    </row>
    <row r="9">
      <c r="A9" s="3" t="inlineStr">
        <is>
          <t>Majoration de hauteur (m)</t>
        </is>
      </c>
      <c r="B9" s="9" t="n">
        <v>1</v>
      </c>
    </row>
    <row r="11">
      <c r="A11" s="3" t="inlineStr">
        <is>
          <t>Longueur de métré (m)</t>
        </is>
      </c>
      <c r="B11" s="15">
        <f>ROUND(B4+B8*ROUND(MAX(B6,0),0),2)</f>
        <v/>
      </c>
    </row>
    <row r="12">
      <c r="A12" s="3" t="inlineStr">
        <is>
          <t>Hauteur de métré (m)</t>
        </is>
      </c>
      <c r="B12" s="15">
        <f>ROUND(B5+B9,2)</f>
        <v/>
      </c>
    </row>
    <row r="13">
      <c r="A13" s="3" t="inlineStr">
        <is>
          <t>Surface de façade (m²)</t>
        </is>
      </c>
      <c r="B13" s="15">
        <f>ROUND(B4*B5,2)</f>
        <v/>
      </c>
    </row>
    <row r="14">
      <c r="A14" s="3" t="inlineStr">
        <is>
          <t>Surface de métré (m²)</t>
        </is>
      </c>
      <c r="B14" s="15">
        <f>ROUND((B4+B8*ROUND(MAX(B6,0),0))*(B5+B9),2)</f>
        <v/>
      </c>
    </row>
    <row r="15">
      <c r="A15" s="3" t="inlineStr">
        <is>
          <t>Majoration (%)</t>
        </is>
      </c>
      <c r="B15" s="13">
        <f>IF(B4*B5&gt;0,ROUND(((B4+B8*ROUND(MAX(B6,0),0))*(B5+B9)/MAX(B4*B5,0.000001)-1)*100,1),"")</f>
        <v/>
      </c>
    </row>
    <row r="16">
      <c r="A16" s="3" t="inlineStr">
        <is>
          <t>Amarrages minimum</t>
        </is>
      </c>
      <c r="B16" s="10">
        <f>IF((B4+B8*ROUND(MAX(B6,0),0))*(B5+B9)&gt;0,ROUNDUP(ROUND((B4+B8*ROUND(MAX(B6,0),0))*(B5+B9)/B7,6),0),0)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18" customWidth="1" min="2" max="2"/>
  </cols>
  <sheetData>
    <row r="1">
      <c r="A1" s="5" t="inlineStr">
        <is>
          <t>6.14 · Fenêtre : coefficient Uw (SN EN ISO 10077-1) et vitrage de sécurité (SIGaB 002)</t>
        </is>
      </c>
    </row>
    <row r="2">
      <c r="A2" s="6" t="inlineStr">
        <is>
          <t>Cellules jaunes = à saisir. Le périmètre de vitrage est estimé par similitude. Seuils Uw &lt;= 1,0 et Ug &lt;= 0,7 W/m²K et règle du 1,00 m : cahier des charges (SIA 331, SIGaB 002 et SIA 358 non consultées).</t>
        </is>
      </c>
    </row>
    <row r="4">
      <c r="A4" s="3" t="inlineStr">
        <is>
          <t>Largeur (m)</t>
        </is>
      </c>
      <c r="B4" s="9" t="n">
        <v>1.2</v>
      </c>
    </row>
    <row r="5">
      <c r="A5" s="3" t="inlineStr">
        <is>
          <t>Hauteur (m)</t>
        </is>
      </c>
      <c r="B5" s="9" t="n">
        <v>1.45</v>
      </c>
    </row>
    <row r="6">
      <c r="A6" s="3" t="inlineStr">
        <is>
          <t>Vantaux (1 ou 2)</t>
        </is>
      </c>
      <c r="B6" s="8" t="n">
        <v>1</v>
      </c>
    </row>
    <row r="7">
      <c r="A7" s="3" t="inlineStr">
        <is>
          <t>Ug du vitrage (W/m²K)</t>
        </is>
      </c>
      <c r="B7" s="9" t="n">
        <v>0.6</v>
      </c>
    </row>
    <row r="8">
      <c r="A8" s="3" t="inlineStr">
        <is>
          <t>Uf du cadre (W/m²K)</t>
        </is>
      </c>
      <c r="B8" s="9" t="n">
        <v>1</v>
      </c>
    </row>
    <row r="9">
      <c r="A9" s="3" t="inlineStr">
        <is>
          <t>Ψg de l'intercalaire (W/mK)</t>
        </is>
      </c>
      <c r="B9" s="14" t="n">
        <v>0.032</v>
      </c>
    </row>
    <row r="10">
      <c r="A10" s="3" t="inlineStr">
        <is>
          <t>Part de surface du cadre (%)</t>
        </is>
      </c>
      <c r="B10" s="8" t="n">
        <v>28</v>
      </c>
    </row>
    <row r="12">
      <c r="A12" s="3" t="inlineStr">
        <is>
          <t>Surface de la fenêtre, non arrondie (m²)</t>
        </is>
      </c>
      <c r="B12" s="11">
        <f>B4*B5</f>
        <v/>
      </c>
    </row>
    <row r="13">
      <c r="A13" s="3" t="inlineStr">
        <is>
          <t>Surface du cadre, non arrondie (m²)</t>
        </is>
      </c>
      <c r="B13" s="11">
        <f>B12*B10/100</f>
        <v/>
      </c>
    </row>
    <row r="14">
      <c r="A14" s="3" t="inlineStr">
        <is>
          <t>Surface du vitrage, non arrondie (m²)</t>
        </is>
      </c>
      <c r="B14" s="11">
        <f>B12-B13</f>
        <v/>
      </c>
    </row>
    <row r="15">
      <c r="A15" s="3" t="inlineStr">
        <is>
          <t>Largeur d'un vitrage (m)</t>
        </is>
      </c>
      <c r="B15" s="11">
        <f>SQRT(B14/B6*(B4/B6)/B5)</f>
        <v/>
      </c>
    </row>
    <row r="16">
      <c r="A16" s="3" t="inlineStr">
        <is>
          <t>Hauteur d'un vitrage (m)</t>
        </is>
      </c>
      <c r="B16" s="11">
        <f>SQRT(B14/B6*B5/(B4/B6))</f>
        <v/>
      </c>
    </row>
    <row r="17">
      <c r="A17" s="3" t="inlineStr">
        <is>
          <t>Périmètre de vitrage, non arrondi (m)</t>
        </is>
      </c>
      <c r="B17" s="11">
        <f>B6*2*(B15+B16)</f>
        <v/>
      </c>
    </row>
    <row r="18">
      <c r="A18" s="3" t="inlineStr">
        <is>
          <t>Uw, non arrondi (W/m²K)</t>
        </is>
      </c>
      <c r="B18" s="11">
        <f>(B14*B7+B13*B8+B17*B9)/B12</f>
        <v/>
      </c>
    </row>
    <row r="19">
      <c r="A19" s="3" t="inlineStr">
        <is>
          <t>Uw (W/m²K)</t>
        </is>
      </c>
      <c r="B19" s="12">
        <f>ROUND(B18,3)</f>
        <v/>
      </c>
    </row>
    <row r="20">
      <c r="A20" s="3" t="inlineStr">
        <is>
          <t>Uw conforme (1 oui) : &lt;= 1.0</t>
        </is>
      </c>
      <c r="B20" s="10">
        <f>IF(B18&lt;=1.0,1,0)</f>
        <v/>
      </c>
    </row>
    <row r="21">
      <c r="A21" s="3" t="inlineStr">
        <is>
          <t>Ug conforme (1 oui) : &lt;= 0.7</t>
        </is>
      </c>
      <c r="B21" s="10">
        <f>IF(B7&lt;=0.7,1,0)</f>
        <v/>
      </c>
    </row>
    <row r="22">
      <c r="A22" s="3" t="inlineStr">
        <is>
          <t>Surface (m²)</t>
        </is>
      </c>
      <c r="B22" s="12">
        <f>ROUND(B12,3)</f>
        <v/>
      </c>
    </row>
    <row r="23">
      <c r="A23" s="3" t="inlineStr">
        <is>
          <t>Surface du vitrage (m²)</t>
        </is>
      </c>
      <c r="B23" s="12">
        <f>ROUND(B14,3)</f>
        <v/>
      </c>
    </row>
    <row r="24">
      <c r="A24" s="3" t="inlineStr">
        <is>
          <t>Surface du cadre (m²)</t>
        </is>
      </c>
      <c r="B24" s="12">
        <f>ROUND(B13,3)</f>
        <v/>
      </c>
    </row>
    <row r="25">
      <c r="A25" s="3" t="inlineStr">
        <is>
          <t>Périmètre de vitrage (m)</t>
        </is>
      </c>
      <c r="B25" s="15">
        <f>ROUND(B17,2)</f>
        <v/>
      </c>
    </row>
    <row r="28">
      <c r="A28" s="3" t="inlineStr">
        <is>
          <t>Hauteur de l'allège (cm)</t>
        </is>
      </c>
      <c r="B28" s="8" t="n">
        <v>40</v>
      </c>
    </row>
    <row r="29">
      <c r="A29" s="3" t="inlineStr">
        <is>
          <t>Hauteur de chute côté extérieur (m)</t>
        </is>
      </c>
      <c r="B29" s="9" t="n">
        <v>3</v>
      </c>
    </row>
    <row r="30">
      <c r="A30" s="3" t="inlineStr">
        <is>
          <t>Verre de sécurité (0 non imposé, 1 VSG obligatoire côté intérieur, 2 ESG ou VSG) : allège &lt; 100 cm</t>
        </is>
      </c>
      <c r="B30" s="10">
        <f>IF(B28&lt;100,IF(B29&gt;=1.0,1,2),0)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2026-11-06T16:18:06Z</dcterms:created>
  <dcterms:modified xsi:type="dcterms:W3CDTF">2026-11-06T16:18:06Z</dcterms:modified>
</cp:coreProperties>
</file>