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À lire" sheetId="1" state="visible" r:id="rId1"/>
    <sheet name="Électricité (6.15)" sheetId="2" state="visible" r:id="rId2"/>
    <sheet name="Chauffage (6.16)" sheetId="3" state="visible" r:id="rId3"/>
    <sheet name="Ventilation (6.17)" sheetId="4" state="visible" r:id="rId4"/>
    <sheet name="Sanitaire (6.18)" sheetId="5" state="visible" r:id="rId5"/>
    <sheet name="Photovoltaïque (6.19)" sheetId="6" state="visible" r:id="rId6"/>
    <sheet name="Bornes VE (6.20)" sheetId="7" state="visible" r:id="rId7"/>
  </sheets>
  <definedNames/>
  <calcPr calcId="124519" fullCalcOnLoad="1"/>
</workbook>
</file>

<file path=xl/styles.xml><?xml version="1.0" encoding="utf-8"?>
<styleSheet xmlns="http://schemas.openxmlformats.org/spreadsheetml/2006/main">
  <numFmts count="4">
    <numFmt numFmtId="164" formatCode="0.0"/>
    <numFmt numFmtId="165" formatCode="0.0000"/>
    <numFmt numFmtId="166" formatCode="0.000"/>
    <numFmt numFmtId="167" formatCode="0.00000000"/>
  </numFmts>
  <fonts count="6">
    <font>
      <name val="Calibri"/>
      <family val="2"/>
      <color theme="1"/>
      <sz val="11"/>
      <scheme val="minor"/>
    </font>
    <font>
      <name val="Calibri"/>
      <b val="1"/>
      <color rgb="001E293B"/>
      <sz val="16"/>
    </font>
    <font>
      <name val="Calibri"/>
      <i val="1"/>
      <color rgb="0064748B"/>
      <sz val="10"/>
    </font>
    <font>
      <name val="Calibri"/>
      <color rgb="001E293B"/>
      <sz val="10"/>
    </font>
    <font>
      <name val="Calibri"/>
      <b val="1"/>
      <color rgb="001E293B"/>
      <sz val="10"/>
    </font>
    <font>
      <name val="Calibri"/>
      <b val="1"/>
      <color rgb="001D4ED8"/>
      <sz val="10"/>
    </font>
  </fonts>
  <fills count="4">
    <fill>
      <patternFill/>
    </fill>
    <fill>
      <patternFill patternType="gray125"/>
    </fill>
    <fill>
      <patternFill patternType="solid">
        <fgColor rgb="00FFFBEB"/>
      </patternFill>
    </fill>
    <fill>
      <patternFill patternType="solid">
        <fgColor rgb="00DBEAFE"/>
      </patternFill>
    </fill>
  </fills>
  <borders count="2">
    <border>
      <left/>
      <right/>
      <top/>
      <bottom/>
      <diagonal/>
    </border>
    <border>
      <left style="thin">
        <color rgb="00E2E8F0"/>
      </left>
      <right style="thin">
        <color rgb="00E2E8F0"/>
      </right>
      <top style="thin">
        <color rgb="00E2E8F0"/>
      </top>
      <bottom style="thin">
        <color rgb="00E2E8F0"/>
      </bottom>
    </border>
  </borders>
  <cellStyleXfs count="1">
    <xf numFmtId="0" fontId="0" fillId="0" borderId="0"/>
  </cellStyleXfs>
  <cellXfs count="17">
    <xf numFmtId="0" fontId="0" fillId="0" borderId="0" pivotButton="0" quotePrefix="0" xfId="0"/>
    <xf numFmtId="0" fontId="1" fillId="0" borderId="0" applyAlignment="1" pivotButton="0" quotePrefix="0" xfId="0">
      <alignment vertical="top" wrapText="1"/>
    </xf>
    <xf numFmtId="0" fontId="2" fillId="0" borderId="0" applyAlignment="1" pivotButton="0" quotePrefix="0" xfId="0">
      <alignment vertical="top" wrapText="1"/>
    </xf>
    <xf numFmtId="0" fontId="3" fillId="0" borderId="0" applyAlignment="1" pivotButton="0" quotePrefix="0" xfId="0">
      <alignment vertical="top" wrapText="1"/>
    </xf>
    <xf numFmtId="0" fontId="4" fillId="0" borderId="0" applyAlignment="1" pivotButton="0" quotePrefix="0" xfId="0">
      <alignment vertical="top" wrapText="1"/>
    </xf>
    <xf numFmtId="0" fontId="1" fillId="0" borderId="0" pivotButton="0" quotePrefix="0" xfId="0"/>
    <xf numFmtId="0" fontId="2" fillId="0" borderId="0" pivotButton="0" quotePrefix="0" xfId="0"/>
    <xf numFmtId="1" fontId="5" fillId="2" borderId="1" pivotButton="0" quotePrefix="0" xfId="0"/>
    <xf numFmtId="1" fontId="4" fillId="3" borderId="1" pivotButton="0" quotePrefix="0" xfId="0"/>
    <xf numFmtId="164" fontId="5" fillId="2" borderId="1" pivotButton="0" quotePrefix="0" xfId="0"/>
    <xf numFmtId="165" fontId="5" fillId="2" borderId="1" pivotButton="0" quotePrefix="0" xfId="0"/>
    <xf numFmtId="165" fontId="4" fillId="3" borderId="1" pivotButton="0" quotePrefix="0" xfId="0"/>
    <xf numFmtId="164" fontId="4" fillId="3" borderId="1" pivotButton="0" quotePrefix="0" xfId="0"/>
    <xf numFmtId="2" fontId="4" fillId="3" borderId="1" pivotButton="0" quotePrefix="0" xfId="0"/>
    <xf numFmtId="2" fontId="5" fillId="2" borderId="1" pivotButton="0" quotePrefix="0" xfId="0"/>
    <xf numFmtId="166" fontId="5" fillId="2" borderId="1" pivotButton="0" quotePrefix="0" xfId="0"/>
    <xf numFmtId="167" fontId="4" fillId="3" borderId="1"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styles" Target="styles.xml" Id="rId8" /><Relationship Type="http://schemas.openxmlformats.org/officeDocument/2006/relationships/theme" Target="theme/theme1.xml" Id="rId9"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13"/>
  <sheetViews>
    <sheetView showGridLines="0" workbookViewId="0">
      <selection activeCell="A1" sqref="A1"/>
    </sheetView>
  </sheetViews>
  <sheetFormatPr baseColWidth="8" defaultRowHeight="15"/>
  <cols>
    <col width="150" customWidth="1" min="1" max="1"/>
  </cols>
  <sheetData>
    <row r="1">
      <c r="A1" s="1" t="inlineStr">
        <is>
          <t>ACIP 2026 : normes SIA et calculateurs par corps de métier, accordéon C (Pilier 6, chapitres 15 à 20)</t>
        </is>
      </c>
    </row>
    <row r="2">
      <c r="A2" s="2" t="inlineStr">
        <is>
          <t>Art Construction Indice de Prix · art-construction.ch/outils/ · classeur de référence des outils 6.15 à 6.20</t>
        </is>
      </c>
    </row>
    <row r="3">
      <c r="A3" s="3" t="inlineStr"/>
    </row>
    <row r="4">
      <c r="A4" s="4" t="inlineStr">
        <is>
          <t>Contenu</t>
        </is>
      </c>
    </row>
    <row r="5">
      <c r="A5" s="3" t="inlineStr">
        <is>
          <t>• Électricité (6.15) : volume de salle de bain (NIBT 7.01), chute de tension et section d'un câble de cuivre, périodicité du rapport de sécurité OIBT.</t>
        </is>
      </c>
    </row>
    <row r="6">
      <c r="A6" s="3" t="inlineStr">
        <is>
          <t>• Chauffage (6.16) : puissance d'une pompe à chaleur, tube et boucles de chauffage au sol, puissance extraite du sol et forage de sonde géothermique (SIA 384).</t>
        </is>
      </c>
    </row>
    <row r="7">
      <c r="A7" s="3" t="inlineStr">
        <is>
          <t>• Ventilation (6.17) : débits de pulsion et d'extraction, débit nominal, taux de renouvellement et vitesse dans une gaine (SIA 382).</t>
        </is>
      </c>
    </row>
    <row r="8">
      <c r="A8" s="3" t="inlineStr">
        <is>
          <t>• Sanitaire (6.18) : unités de raccordement, débit de pointe, diamètre de la conduite principale, températures anti-légionelles et règle des 3 litres.</t>
        </is>
      </c>
    </row>
    <row r="9">
      <c r="A9" s="3" t="inlineStr">
        <is>
          <t>• Photovoltaïque (6.19) : panneaux, puissance crête, production, rétribution unique Pronovo et temps de retour.</t>
        </is>
      </c>
    </row>
    <row r="10">
      <c r="A10" s="3" t="inlineStr">
        <is>
          <t>• Bornes de recharge (6.20) : puissance avec et sans gestion dynamique de charge, énergie par véhicule et intensité (cahier technique SIA 2060).</t>
        </is>
      </c>
    </row>
    <row r="11">
      <c r="A11" s="3" t="inlineStr"/>
    </row>
    <row r="12">
      <c r="A12" s="4" t="inlineStr">
        <is>
          <t>Avertissement</t>
        </is>
      </c>
    </row>
    <row r="13">
      <c r="A13" s="3" t="inlineStr">
        <is>
          <t>Les cellules jaunes sont à saisir ; les cellules bleues sont des formules. Les volumes de salle de bain et leurs indices de protection (NIBT, norme payante non consultée ; les sources en ligne divergent sur les prises du volume 2 et l'IPX7 du volume 0), les périodes OIBT, les charges thermiques, métrés, extractions et COP (SIA 384), les débits et vitesses (SIA 382), les unités de raccordement et les températures (SSIGE W3, SIA 385/1), les rendements et tarifs solaires et les facteurs de gestion de charge sont des valeurs du cahier des charges, à vérifier dans les textes en vigueur. Écarts et hypothèses : le débit de pointe sanitaire est un ajustement de l'outil (Qd = 0,195 × ΣLU^0,45, calé sur 20 LU : 0,75 l/s et 30 LU : 0,90 l/s) ; la somme par défaut du cahier (25 LU) ne correspond pas à la liste d'appareils par défaut (23 LU) ; une source communale compte 4 LU pour une baignoire ; la longueur maximale de tube Ø 20 × 2 pour 3 litres est de 14,9 m et non de 15,0 m ; la rétribution unique de 360 CHF/kW (ajoutée) et 400 CHF/kW (intégrée) est le barème en vigueur d'après la note de l'OFEN qui annonce 400 et 440 CHF/kW dès le 1er avril 2027 ; la tranche de 30 à 100 kW, la contribution de base, le bonus d'inclinaison, le coût de 2 200 CHF/kWc et l'impôt de 25 % sont des valeurs non vérifiées ou des hypothèses ; la SIA 2060 est un cahier technique non contraignant dont les niveaux B, C3 et D1 / D2 n'ont pas été retrouvés ; le titre du cahier « 25 à 75 W/m² » diffère de la liste qui va jusqu'à 80 W/m². Information indicative qui ne remplace pas l'avis d'un électricien installateur, d'un projeteur CVC ou sanitaire, de Pronovo, du gestionnaire de réseau ou d'un juriste.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48"/>
  <sheetViews>
    <sheetView showGridLines="0" workbookViewId="0">
      <selection activeCell="A1" sqref="A1"/>
    </sheetView>
  </sheetViews>
  <sheetFormatPr baseColWidth="8" defaultRowHeight="15"/>
  <cols>
    <col width="88" customWidth="1" min="1" max="1"/>
    <col width="18" customWidth="1" min="2" max="2"/>
  </cols>
  <sheetData>
    <row r="1">
      <c r="A1" s="5" t="inlineStr">
        <is>
          <t>6.15 · Électricité : volumes de salle de bain (NIBT 7.01), chute de tension et périodicité OIBT</t>
        </is>
      </c>
    </row>
    <row r="2">
      <c r="A2" s="6" t="inlineStr">
        <is>
          <t>Cellules jaunes = à saisir. Volumes, distances et indices : cahier des charges, NIBT non consultée (sources divergentes sur les prises du volume 2 et l'IPX7 du volume 0). Résistivité du cuivre à chaud : 0,0225 Ω·mm²/m. Périodes OIBT : cahier ; la période de 3 ans de l'annexe n'y figure pas.</t>
        </is>
      </c>
    </row>
    <row r="4">
      <c r="A4" s="3" t="inlineStr">
        <is>
          <t>Type (1 baignoire ou receveur, 2 douche de plain-pied)</t>
        </is>
      </c>
      <c r="B4" s="7" t="n">
        <v>1</v>
      </c>
    </row>
    <row r="5">
      <c r="A5" s="3" t="inlineStr">
        <is>
          <t>Point à l'aplomb de la baignoire ou du receveur (1 oui, 0 non)</t>
        </is>
      </c>
      <c r="B5" s="7" t="n">
        <v>0</v>
      </c>
    </row>
    <row r="6">
      <c r="A6" s="3" t="inlineStr">
        <is>
          <t>Distance horizontale depuis le bord (cm)</t>
        </is>
      </c>
      <c r="B6" s="7" t="n">
        <v>45</v>
      </c>
    </row>
    <row r="7">
      <c r="A7" s="3" t="inlineStr">
        <is>
          <t>Hauteur par rapport au sol fini (cm)</t>
        </is>
      </c>
      <c r="B7" s="7" t="n">
        <v>120</v>
      </c>
    </row>
    <row r="8">
      <c r="A8" s="3" t="inlineStr">
        <is>
          <t>Hauteur du volume 0 dans la baignoire (cm)</t>
        </is>
      </c>
      <c r="B8" s="7" t="n">
        <v>10</v>
      </c>
    </row>
    <row r="9">
      <c r="A9" s="3" t="inlineStr">
        <is>
          <t>Hauteur maximale des volumes 1 et 2 (cm)</t>
        </is>
      </c>
      <c r="B9" s="7" t="n">
        <v>225</v>
      </c>
    </row>
    <row r="10">
      <c r="A10" s="3" t="inlineStr">
        <is>
          <t>Rayon du volume 1 en plain-pied (cm)</t>
        </is>
      </c>
      <c r="B10" s="7" t="n">
        <v>120</v>
      </c>
    </row>
    <row r="11">
      <c r="A11" s="3" t="inlineStr">
        <is>
          <t>Largeur du volume 2 (cm)</t>
        </is>
      </c>
      <c r="B11" s="7" t="n">
        <v>60</v>
      </c>
    </row>
    <row r="13">
      <c r="A13" s="3" t="inlineStr">
        <is>
          <t>Volume (0 volume 0, 1 volume 1, 2 volume 2, 3 hors volumes)</t>
        </is>
      </c>
      <c r="B13" s="8">
        <f>IF(B7&gt;B9,3,IF(B4=1,IF(B5=1,IF(B7&lt;=B8,0,1),IF(B6&lt;=B11,2,3)),IF(B6&lt;=B10,1,IF(B6&lt;=B10+B11,2,3))))</f>
        <v/>
      </c>
    </row>
    <row r="16">
      <c r="A16" s="3" t="inlineStr">
        <is>
          <t>Circuit (1 monophasé 230 V, 2 triphasé 400 V)</t>
        </is>
      </c>
      <c r="B16" s="7" t="n">
        <v>1</v>
      </c>
    </row>
    <row r="17">
      <c r="A17" s="3" t="inlineStr">
        <is>
          <t>Courant nominal du disjoncteur (A)</t>
        </is>
      </c>
      <c r="B17" s="7" t="n">
        <v>16</v>
      </c>
    </row>
    <row r="18">
      <c r="A18" s="3" t="inlineStr">
        <is>
          <t>Longueur de ligne (m)</t>
        </is>
      </c>
      <c r="B18" s="9" t="n">
        <v>28</v>
      </c>
    </row>
    <row r="19">
      <c r="A19" s="3" t="inlineStr">
        <is>
          <t>Section cuivre (mm²)</t>
        </is>
      </c>
      <c r="B19" s="9" t="n">
        <v>2.5</v>
      </c>
    </row>
    <row r="20">
      <c r="A20" s="3" t="inlineStr">
        <is>
          <t>Usage (1 prises et autres, 2 éclairage)</t>
        </is>
      </c>
      <c r="B20" s="7" t="n">
        <v>1</v>
      </c>
    </row>
    <row r="21">
      <c r="A21" s="3" t="inlineStr">
        <is>
          <t>Résistivité du cuivre à chaud (Ω·mm²/m)</t>
        </is>
      </c>
      <c r="B21" s="10" t="n">
        <v>0.0225</v>
      </c>
    </row>
    <row r="22">
      <c r="A22" s="3" t="inlineStr">
        <is>
          <t>Chute de tension maximale, prises (%)</t>
        </is>
      </c>
      <c r="B22" s="9" t="n">
        <v>4</v>
      </c>
    </row>
    <row r="23">
      <c r="A23" s="3" t="inlineStr">
        <is>
          <t>Chute de tension maximale, éclairage (%)</t>
        </is>
      </c>
      <c r="B23" s="9" t="n">
        <v>3</v>
      </c>
    </row>
    <row r="25">
      <c r="A25" s="3" t="inlineStr">
        <is>
          <t>Tension nominale (V)</t>
        </is>
      </c>
      <c r="B25" s="8">
        <f>IF(B16=2,400,230)</f>
        <v/>
      </c>
    </row>
    <row r="26">
      <c r="A26" s="3" t="inlineStr">
        <is>
          <t>Facteur k (2 en monophasé, racine de 3 en triphasé)</t>
        </is>
      </c>
      <c r="B26" s="11">
        <f>IF(B16=2,SQRT(3),2)</f>
        <v/>
      </c>
    </row>
    <row r="27">
      <c r="A27" s="3" t="inlineStr">
        <is>
          <t>Limite applicable (%)</t>
        </is>
      </c>
      <c r="B27" s="12">
        <f>IF(B20=2,B23,B22)</f>
        <v/>
      </c>
    </row>
    <row r="28">
      <c r="A28" s="3" t="inlineStr">
        <is>
          <t>Chute de tension, non arrondie (V)</t>
        </is>
      </c>
      <c r="B28" s="11">
        <f>B26*B18*B17*B21/B19</f>
        <v/>
      </c>
    </row>
    <row r="29">
      <c r="A29" s="3" t="inlineStr">
        <is>
          <t>Chute de tension ΔU (V)</t>
        </is>
      </c>
      <c r="B29" s="13">
        <f>ROUND(B28,2)</f>
        <v/>
      </c>
    </row>
    <row r="30">
      <c r="A30" s="3" t="inlineStr">
        <is>
          <t>Chute de tension, non arrondie (%)</t>
        </is>
      </c>
      <c r="B30" s="11">
        <f>B28/B25*100</f>
        <v/>
      </c>
    </row>
    <row r="31">
      <c r="A31" s="3" t="inlineStr">
        <is>
          <t>Chute de tension (%)</t>
        </is>
      </c>
      <c r="B31" s="13">
        <f>ROUND(B30,2)</f>
        <v/>
      </c>
    </row>
    <row r="32">
      <c r="A32" s="3" t="inlineStr">
        <is>
          <t>Conforme (1 oui)</t>
        </is>
      </c>
      <c r="B32" s="8">
        <f>IF(ROUND(B30,6)&lt;=B27,1,0)</f>
        <v/>
      </c>
    </row>
    <row r="33">
      <c r="A33" s="3" t="inlineStr">
        <is>
          <t>Section minimale conforme (mm², 0 si aucune)</t>
        </is>
      </c>
      <c r="B33" s="12">
        <f>IF(ROUND(B26*B18*B17*B21/1.5/B25*100,6)&lt;=B27,1.5,IF(ROUND(B26*B18*B17*B21/2.5/B25*100,6)&lt;=B27,2.5,IF(ROUND(B26*B18*B17*B21/4/B25*100,6)&lt;=B27,4,IF(ROUND(B26*B18*B17*B21/6/B25*100,6)&lt;=B27,6,IF(ROUND(B26*B18*B17*B21/10/B25*100,6)&lt;=B27,10,IF(ROUND(B26*B18*B17*B21/16/B25*100,6)&lt;=B27,16,0))))))</f>
        <v/>
      </c>
    </row>
    <row r="36">
      <c r="A36" s="3" t="inlineStr">
        <is>
          <t>Type d'installation (1 logement 20 ans, 2 bureaux 10 ans, 3 grands magasins 5 ans, 4 chantiers 1 an)</t>
        </is>
      </c>
      <c r="B36" s="7" t="n">
        <v>1</v>
      </c>
    </row>
    <row r="37">
      <c r="A37" s="3" t="inlineStr">
        <is>
          <t>Année du dernier contrôle</t>
        </is>
      </c>
      <c r="B37" s="7" t="n">
        <v>2010</v>
      </c>
    </row>
    <row r="38">
      <c r="A38" s="3" t="inlineStr">
        <is>
          <t>Année de référence</t>
        </is>
      </c>
      <c r="B38" s="7" t="n">
        <v>2026</v>
      </c>
    </row>
    <row r="39">
      <c r="A39" s="3" t="inlineStr">
        <is>
          <t>Changement de propriétaire prévu (1 oui, 0 non)</t>
        </is>
      </c>
      <c r="B39" s="7" t="n">
        <v>0</v>
      </c>
    </row>
    <row r="40">
      <c r="A40" s="3" t="inlineStr">
        <is>
          <t>Ancienneté du contrôle exigeant un nouveau contrôle à la vente (ans)</t>
        </is>
      </c>
      <c r="B40" s="7" t="n">
        <v>5</v>
      </c>
    </row>
    <row r="41">
      <c r="A41" s="3" t="inlineStr">
        <is>
          <t>Période minimale concernée par la règle de vente (ans)</t>
        </is>
      </c>
      <c r="B41" s="7" t="n">
        <v>10</v>
      </c>
    </row>
    <row r="43">
      <c r="A43" s="3" t="inlineStr">
        <is>
          <t>Période de contrôle (ans)</t>
        </is>
      </c>
      <c r="B43" s="8">
        <f>IF(B36=1,20,IF(B36=2,10,IF(B36=3,5,1)))</f>
        <v/>
      </c>
    </row>
    <row r="44">
      <c r="A44" s="3" t="inlineStr">
        <is>
          <t>Échéance du prochain rapport de sécurité</t>
        </is>
      </c>
      <c r="B44" s="8">
        <f>ROUND(MAX(B37,0),0)+B43</f>
        <v/>
      </c>
    </row>
    <row r="45">
      <c r="A45" s="3" t="inlineStr">
        <is>
          <t>Années restantes (négatif = en retard)</t>
        </is>
      </c>
      <c r="B45" s="8">
        <f>B44-ROUND(MAX(B38,0),0)</f>
        <v/>
      </c>
    </row>
    <row r="46">
      <c r="A46" s="3" t="inlineStr">
        <is>
          <t>En retard (1 oui)</t>
        </is>
      </c>
      <c r="B46" s="8">
        <f>IF(B45&lt;0,1,0)</f>
        <v/>
      </c>
    </row>
    <row r="47">
      <c r="A47" s="3" t="inlineStr">
        <is>
          <t>Années écoulées depuis le dernier contrôle</t>
        </is>
      </c>
      <c r="B47" s="8">
        <f>ROUND(MAX(B38,0),0)-ROUND(MAX(B37,0),0)</f>
        <v/>
      </c>
    </row>
    <row r="48">
      <c r="A48" s="3" t="inlineStr">
        <is>
          <t>Contrôle exigé au changement de propriétaire (1 oui)</t>
        </is>
      </c>
      <c r="B48" s="8">
        <f>IF(AND(B39=1,B43&gt;=B41,B47&gt;B40),1,0)</f>
        <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B23"/>
  <sheetViews>
    <sheetView showGridLines="0" workbookViewId="0">
      <selection activeCell="A1" sqref="A1"/>
    </sheetView>
  </sheetViews>
  <sheetFormatPr baseColWidth="8" defaultRowHeight="15"/>
  <cols>
    <col width="88" customWidth="1" min="1" max="1"/>
    <col width="18" customWidth="1" min="2" max="2"/>
  </cols>
  <sheetData>
    <row r="1">
      <c r="A1" s="5" t="inlineStr">
        <is>
          <t>6.16 · Pompe à chaleur, chauffage au sol et sonde géothermique (SIA 384)</t>
        </is>
      </c>
    </row>
    <row r="2">
      <c r="A2" s="6" t="inlineStr">
        <is>
          <t>Cellules jaunes = à saisir (standard thermique : maison neuve standard 32 W/m² ; pas de 15 cm ; sous-sol de plateau). Charges, métrés, boucles et extractions : cahier des charges, SIA 384/1 et 384/6 non consultées. Surface chauffée = SRE.</t>
        </is>
      </c>
    </row>
    <row r="4">
      <c r="A4" s="3" t="inlineStr">
        <is>
          <t>Surface de référence énergétique SRE (m²)</t>
        </is>
      </c>
      <c r="B4" s="9" t="n">
        <v>180</v>
      </c>
    </row>
    <row r="5">
      <c r="A5" s="3" t="inlineStr">
        <is>
          <t>Charge thermique spécifique (W/m²) : 25 Minergie, 32 SIA 380/1, 45, 60, 80</t>
        </is>
      </c>
      <c r="B5" s="7" t="n">
        <v>32</v>
      </c>
    </row>
    <row r="6">
      <c r="A6" s="3" t="inlineStr">
        <is>
          <t>Occupants (eau chaude sanitaire)</t>
        </is>
      </c>
      <c r="B6" s="7" t="n">
        <v>4</v>
      </c>
    </row>
    <row r="7">
      <c r="A7" s="3" t="inlineStr">
        <is>
          <t>Tube par m² (ml) : 9,5 à 10 cm, 6,5 à 15 cm, 4,8 à 20 cm</t>
        </is>
      </c>
      <c r="B7" s="9" t="n">
        <v>6.5</v>
      </c>
    </row>
    <row r="8">
      <c r="A8" s="3" t="inlineStr">
        <is>
          <t>Extraction du sous-sol (W/m) : 45 plateau, 55 roche, 35 sédiments secs</t>
        </is>
      </c>
      <c r="B8" s="7" t="n">
        <v>45</v>
      </c>
    </row>
    <row r="9">
      <c r="A9" s="3" t="inlineStr">
        <is>
          <t>COP saisonnier</t>
        </is>
      </c>
      <c r="B9" s="9" t="n">
        <v>4.2</v>
      </c>
    </row>
    <row r="10">
      <c r="A10" s="3" t="inlineStr">
        <is>
          <t>Majoration eau chaude (kW par personne)</t>
        </is>
      </c>
      <c r="B10" s="14" t="n">
        <v>0.25</v>
      </c>
    </row>
    <row r="11">
      <c r="A11" s="3" t="inlineStr">
        <is>
          <t>Longueur maximale d'une boucle (ml)</t>
        </is>
      </c>
      <c r="B11" s="7" t="n">
        <v>100</v>
      </c>
    </row>
    <row r="12">
      <c r="A12" s="3" t="inlineStr">
        <is>
          <t>Longueur prudente d'une boucle (ml)</t>
        </is>
      </c>
      <c r="B12" s="7" t="n">
        <v>90</v>
      </c>
    </row>
    <row r="14">
      <c r="A14" s="3" t="inlineStr">
        <is>
          <t>Majoration eau chaude (kW)</t>
        </is>
      </c>
      <c r="B14" s="13">
        <f>ROUND(ROUND(MAX(B6,0),0)*B10,2)</f>
        <v/>
      </c>
    </row>
    <row r="15">
      <c r="A15" s="3" t="inlineStr">
        <is>
          <t>Puissance de la PAC, non arrondie (kW)</t>
        </is>
      </c>
      <c r="B15" s="11">
        <f>MAX(B4,0)*B5/1000+ROUND(MAX(B6,0),0)*B10</f>
        <v/>
      </c>
    </row>
    <row r="16">
      <c r="A16" s="3" t="inlineStr">
        <is>
          <t>Puissance nominale de la PAC (kW)</t>
        </is>
      </c>
      <c r="B16" s="13">
        <f>ROUND(B15,2)</f>
        <v/>
      </c>
    </row>
    <row r="17">
      <c r="A17" s="3" t="inlineStr">
        <is>
          <t>Tube, non arrondi (ml)</t>
        </is>
      </c>
      <c r="B17" s="13">
        <f>MAX(B4,0)*B7</f>
        <v/>
      </c>
    </row>
    <row r="18">
      <c r="A18" s="3" t="inlineStr">
        <is>
          <t>Tube de chauffage au sol (ml)</t>
        </is>
      </c>
      <c r="B18" s="8">
        <f>ROUND(B17,0)</f>
        <v/>
      </c>
    </row>
    <row r="19">
      <c r="A19" s="3" t="inlineStr">
        <is>
          <t>Boucles de 100 ml au plus</t>
        </is>
      </c>
      <c r="B19" s="8">
        <f>ROUNDUP(ROUND(B17/B11,6),0)</f>
        <v/>
      </c>
    </row>
    <row r="20">
      <c r="A20" s="3" t="inlineStr">
        <is>
          <t>Boucles de 90 ml au plus</t>
        </is>
      </c>
      <c r="B20" s="8">
        <f>ROUNDUP(ROUND(B17/B12,6),0)</f>
        <v/>
      </c>
    </row>
    <row r="21">
      <c r="A21" s="3" t="inlineStr">
        <is>
          <t>Puissance extraite du sol, non arrondie (kW)</t>
        </is>
      </c>
      <c r="B21" s="11">
        <f>IF(B9&gt;1,B15*(1-1/MAX(B9,0.000001)),0)</f>
        <v/>
      </c>
    </row>
    <row r="22">
      <c r="A22" s="3" t="inlineStr">
        <is>
          <t>Puissance frigorifique extraite du sol (kW)</t>
        </is>
      </c>
      <c r="B22" s="13">
        <f>ROUND(B21,2)</f>
        <v/>
      </c>
    </row>
    <row r="23">
      <c r="A23" s="3" t="inlineStr">
        <is>
          <t>Forage de sonde (m)</t>
        </is>
      </c>
      <c r="B23" s="12">
        <f>ROUND(B21*1000/B8,1)</f>
        <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C35"/>
  <sheetViews>
    <sheetView showGridLines="0" workbookViewId="0">
      <selection activeCell="A1" sqref="A1"/>
    </sheetView>
  </sheetViews>
  <sheetFormatPr baseColWidth="8" defaultRowHeight="15"/>
  <cols>
    <col width="88" customWidth="1" min="1" max="1"/>
    <col width="18" customWidth="1" min="2" max="2"/>
    <col width="18" customWidth="1" min="3" max="3"/>
  </cols>
  <sheetData>
    <row r="1">
      <c r="A1" s="5" t="inlineStr">
        <is>
          <t>6.17 · Ventilation double flux : débits, taux de renouvellement et vitesse dans les gaines (SIA 382)</t>
        </is>
      </c>
    </row>
    <row r="2">
      <c r="A2" s="6" t="inlineStr">
        <is>
          <t>Cellules jaunes = à saisir (milieu des plages du cahier des charges par défaut). Débits, taux de 0,40 à 0,60 vol/h et vitesses de 2,0 à 2,5 m/s (secondaire) et 3,5 à 4,0 m/s (collecteur) : cahier des charges, SIA 382/1 et 382/5 non consultées. Aucun rendement de récupérateur n'est donné.</t>
        </is>
      </c>
    </row>
    <row r="4">
      <c r="A4" s="3" t="inlineStr">
        <is>
          <t>Local</t>
        </is>
      </c>
      <c r="B4" s="3" t="inlineStr">
        <is>
          <t>Nombre</t>
        </is>
      </c>
      <c r="C4" s="3" t="inlineStr">
        <is>
          <t>Débit par local (m³/h)</t>
        </is>
      </c>
    </row>
    <row r="5">
      <c r="A5" s="3" t="inlineStr">
        <is>
          <t>Chambres parents / grandes chambres (pulsion)</t>
        </is>
      </c>
      <c r="B5" s="7" t="n">
        <v>1</v>
      </c>
      <c r="C5" s="9" t="n">
        <v>30</v>
      </c>
    </row>
    <row r="6">
      <c r="A6" s="3" t="inlineStr">
        <is>
          <t>Chambres d'enfants / bureaux (pulsion)</t>
        </is>
      </c>
      <c r="B6" s="7" t="n">
        <v>2</v>
      </c>
      <c r="C6" s="9" t="n">
        <v>25</v>
      </c>
    </row>
    <row r="7">
      <c r="A7" s="3" t="inlineStr">
        <is>
          <t>Séjour / salon (pulsion)</t>
        </is>
      </c>
      <c r="B7" s="7" t="n">
        <v>1</v>
      </c>
      <c r="C7" s="9" t="n">
        <v>35</v>
      </c>
    </row>
    <row r="8">
      <c r="A8" s="3" t="inlineStr">
        <is>
          <t>Cuisine (hors hotte à charbon actif) (extraction)</t>
        </is>
      </c>
      <c r="B8" s="7" t="n">
        <v>1</v>
      </c>
      <c r="C8" s="9" t="n">
        <v>50</v>
      </c>
    </row>
    <row r="9">
      <c r="A9" s="3" t="inlineStr">
        <is>
          <t>Salles de bain / douches avec WC (extraction)</t>
        </is>
      </c>
      <c r="B9" s="7" t="n">
        <v>1</v>
      </c>
      <c r="C9" s="9" t="n">
        <v>35</v>
      </c>
    </row>
    <row r="10">
      <c r="A10" s="3" t="inlineStr">
        <is>
          <t>WC séparés (extraction)</t>
        </is>
      </c>
      <c r="B10" s="7" t="n">
        <v>1</v>
      </c>
      <c r="C10" s="9" t="n">
        <v>22.5</v>
      </c>
    </row>
    <row r="11">
      <c r="A11" s="3" t="inlineStr">
        <is>
          <t>Buanderie / réduit intérieur (extraction)</t>
        </is>
      </c>
      <c r="B11" s="7" t="n">
        <v>0</v>
      </c>
      <c r="C11" s="9" t="n">
        <v>20</v>
      </c>
    </row>
    <row r="13">
      <c r="A13" s="3" t="inlineStr">
        <is>
          <t>Volume habitable (m³)</t>
        </is>
      </c>
      <c r="B13" s="7" t="n">
        <v>280</v>
      </c>
    </row>
    <row r="14">
      <c r="A14" s="3" t="inlineStr">
        <is>
          <t>Diamètre intérieur de la gaine choisie (mm)</t>
        </is>
      </c>
      <c r="B14" s="7" t="n">
        <v>75</v>
      </c>
    </row>
    <row r="15">
      <c r="A15" s="3" t="inlineStr">
        <is>
          <t>Type de gaine (1 secondaire PEHD, 2 collecteur)</t>
        </is>
      </c>
      <c r="B15" s="7" t="n">
        <v>1</v>
      </c>
    </row>
    <row r="16">
      <c r="A16" s="3" t="inlineStr">
        <is>
          <t>Débit dans la gaine (m³/h, 0 = débit nominal)</t>
        </is>
      </c>
      <c r="B16" s="9" t="n">
        <v>30</v>
      </c>
    </row>
    <row r="17">
      <c r="A17" s="3" t="inlineStr">
        <is>
          <t>Taux minimal (vol/h)</t>
        </is>
      </c>
      <c r="B17" s="14" t="n">
        <v>0.4</v>
      </c>
    </row>
    <row r="18">
      <c r="A18" s="3" t="inlineStr">
        <is>
          <t>Taux maximal (vol/h)</t>
        </is>
      </c>
      <c r="B18" s="14" t="n">
        <v>0.6</v>
      </c>
    </row>
    <row r="20">
      <c r="A20" s="3" t="inlineStr">
        <is>
          <t>Total de pulsion, non arrondi (m³/h)</t>
        </is>
      </c>
      <c r="B20" s="13">
        <f>ROUND(MAX(B5,0),0)*MAX(C5,0)+ROUND(MAX(B6,0),0)*MAX(C6,0)+ROUND(MAX(B7,0),0)*MAX(C7,0)</f>
        <v/>
      </c>
    </row>
    <row r="21">
      <c r="A21" s="3" t="inlineStr">
        <is>
          <t>Total d'extraction, non arrondi (m³/h)</t>
        </is>
      </c>
      <c r="B21" s="13">
        <f>ROUND(MAX(B8,0),0)*MAX(C8,0)+ROUND(MAX(B9,0),0)*MAX(C9,0)+ROUND(MAX(B10,0),0)*MAX(C10,0)+ROUND(MAX(B11,0),0)*MAX(C11,0)</f>
        <v/>
      </c>
    </row>
    <row r="22">
      <c r="A22" s="3" t="inlineStr">
        <is>
          <t>Débit nominal, non arrondi (m³/h)</t>
        </is>
      </c>
      <c r="B22" s="13">
        <f>MAX(B20,B21)</f>
        <v/>
      </c>
    </row>
    <row r="23">
      <c r="A23" s="3" t="inlineStr">
        <is>
          <t>Total de pulsion (m³/h)</t>
        </is>
      </c>
      <c r="B23" s="12">
        <f>ROUND(B20,1)</f>
        <v/>
      </c>
    </row>
    <row r="24">
      <c r="A24" s="3" t="inlineStr">
        <is>
          <t>Total d'extraction (m³/h)</t>
        </is>
      </c>
      <c r="B24" s="12">
        <f>ROUND(B21,1)</f>
        <v/>
      </c>
    </row>
    <row r="25">
      <c r="A25" s="3" t="inlineStr">
        <is>
          <t>Débit nominal équilibré (m³/h)</t>
        </is>
      </c>
      <c r="B25" s="12">
        <f>ROUND(B22,1)</f>
        <v/>
      </c>
    </row>
    <row r="26">
      <c r="A26" s="3" t="inlineStr">
        <is>
          <t>Écart à transférer (m³/h)</t>
        </is>
      </c>
      <c r="B26" s="12">
        <f>ROUND(ABS(B20-B21),1)</f>
        <v/>
      </c>
    </row>
    <row r="27">
      <c r="A27" s="3" t="inlineStr">
        <is>
          <t>Taux de renouvellement (vol/h, 0 si volume nul)</t>
        </is>
      </c>
      <c r="B27" s="13">
        <f>IF(B13&gt;0,ROUND(B22/MAX(B13,0.000001),2),0)</f>
        <v/>
      </c>
    </row>
    <row r="28">
      <c r="A28" s="3" t="inlineStr">
        <is>
          <t>Taux (0 inconnu, 1 bas, 2 dans la cible, 3 haut)</t>
        </is>
      </c>
      <c r="B28" s="8">
        <f>IF(B13&gt;0,IF(ROUND(B22/MAX(B13,0.000001),6)&lt;B17,1,IF(ROUND(B22/MAX(B13,0.000001),6)&gt;B18,3,2)),0)</f>
        <v/>
      </c>
    </row>
    <row r="29">
      <c r="A29" s="3" t="inlineStr">
        <is>
          <t>Débit retenu pour la vitesse (m³/h)</t>
        </is>
      </c>
      <c r="B29" s="13">
        <f>IF(B16&gt;0,B16,B22)</f>
        <v/>
      </c>
    </row>
    <row r="30">
      <c r="A30" s="3" t="inlineStr">
        <is>
          <t>Débit retenu (m³/h)</t>
        </is>
      </c>
      <c r="B30" s="12">
        <f>ROUND(B29,1)</f>
        <v/>
      </c>
    </row>
    <row r="31">
      <c r="A31" s="3" t="inlineStr">
        <is>
          <t>Vitesse, non arrondie (m/s)</t>
        </is>
      </c>
      <c r="B31" s="11">
        <f>(B29/3600)/(PI()*(B14/2000)*(B14/2000))</f>
        <v/>
      </c>
    </row>
    <row r="32">
      <c r="A32" s="3" t="inlineStr">
        <is>
          <t>Vitesse dans la gaine (m/s)</t>
        </is>
      </c>
      <c r="B32" s="13">
        <f>ROUND(B31,2)</f>
        <v/>
      </c>
    </row>
    <row r="33">
      <c r="A33" s="3" t="inlineStr">
        <is>
          <t>Vitesse recommandée (m/s)</t>
        </is>
      </c>
      <c r="B33" s="12">
        <f>IF(B15=1,2,3.5)</f>
        <v/>
      </c>
    </row>
    <row r="34">
      <c r="A34" s="3" t="inlineStr">
        <is>
          <t>Vitesse limite (m/s)</t>
        </is>
      </c>
      <c r="B34" s="12">
        <f>IF(B15=1,2.5,4)</f>
        <v/>
      </c>
    </row>
    <row r="35">
      <c r="A35" s="3" t="inlineStr">
        <is>
          <t>Verdict (0 recommandée, 1 à la limite, 2 trop élevée)</t>
        </is>
      </c>
      <c r="B35" s="8">
        <f>IF(ROUND(B31,6)&lt;=B33,0,IF(ROUND(B31,6)&lt;=B34,1,2))</f>
        <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C54"/>
  <sheetViews>
    <sheetView showGridLines="0" workbookViewId="0">
      <selection activeCell="A1" sqref="A1"/>
    </sheetView>
  </sheetViews>
  <sheetFormatPr baseColWidth="8" defaultRowHeight="15"/>
  <cols>
    <col width="88" customWidth="1" min="1" max="1"/>
    <col width="18" customWidth="1" min="2" max="2"/>
    <col width="18" customWidth="1" min="3" max="3"/>
  </cols>
  <sheetData>
    <row r="1">
      <c r="A1" s="5" t="inlineStr">
        <is>
          <t>6.18 · Sanitaire : unités de raccordement, débit de pointe, diamètre et légionelles (SSIGE W3, SIA 385/1)</t>
        </is>
      </c>
    </row>
    <row r="2">
      <c r="A2" s="6" t="inlineStr">
        <is>
          <t>Cellules jaunes = à saisir. LU et températures : cahier des charges (une source communale compte 4 LU pour une baignoire) ; débit de pointe : AJUSTEMENT de l'outil Qd = 0,195 × ΣLU^0,45 sur les deux points du cahier (20 LU : 0,75 l/s ; 30 LU : 0,90 l/s). SSIGE W3 et SIA 385/1 non consultées.</t>
        </is>
      </c>
    </row>
    <row r="4">
      <c r="A4" s="3" t="inlineStr">
        <is>
          <t>Appareil</t>
        </is>
      </c>
      <c r="B4" s="3" t="inlineStr">
        <is>
          <t>Nombre</t>
        </is>
      </c>
      <c r="C4" s="3" t="inlineStr">
        <is>
          <t>LU par appareil</t>
        </is>
      </c>
    </row>
    <row r="5">
      <c r="A5" s="3" t="inlineStr">
        <is>
          <t>Lavabo / lave-mains</t>
        </is>
      </c>
      <c r="B5" s="7" t="n">
        <v>3</v>
      </c>
      <c r="C5" s="7" t="n">
        <v>1</v>
      </c>
    </row>
    <row r="6">
      <c r="A6" s="3" t="inlineStr">
        <is>
          <t>WC avec réservoir de chasse</t>
        </is>
      </c>
      <c r="B6" s="7" t="n">
        <v>2</v>
      </c>
      <c r="C6" s="7" t="n">
        <v>1</v>
      </c>
    </row>
    <row r="7">
      <c r="A7" s="3" t="inlineStr">
        <is>
          <t>Évier de cuisine</t>
        </is>
      </c>
      <c r="B7" s="7" t="n">
        <v>1</v>
      </c>
      <c r="C7" s="7" t="n">
        <v>2</v>
      </c>
    </row>
    <row r="8">
      <c r="A8" s="3" t="inlineStr">
        <is>
          <t>Lave-vaisselle</t>
        </is>
      </c>
      <c r="B8" s="7" t="n">
        <v>1</v>
      </c>
      <c r="C8" s="7" t="n">
        <v>2</v>
      </c>
    </row>
    <row r="9">
      <c r="A9" s="3" t="inlineStr">
        <is>
          <t>Douche standard</t>
        </is>
      </c>
      <c r="B9" s="7" t="n">
        <v>2</v>
      </c>
      <c r="C9" s="7" t="n">
        <v>2</v>
      </c>
    </row>
    <row r="10">
      <c r="A10" s="3" t="inlineStr">
        <is>
          <t>Lave-linge ménager</t>
        </is>
      </c>
      <c r="B10" s="7" t="n">
        <v>1</v>
      </c>
      <c r="C10" s="7" t="n">
        <v>2</v>
      </c>
    </row>
    <row r="11">
      <c r="A11" s="3" t="inlineStr">
        <is>
          <t>Baignoire</t>
        </is>
      </c>
      <c r="B11" s="7" t="n">
        <v>1</v>
      </c>
      <c r="C11" s="7" t="n">
        <v>3</v>
      </c>
    </row>
    <row r="12">
      <c r="A12" s="3" t="inlineStr">
        <is>
          <t>Robinet de jardin / garage</t>
        </is>
      </c>
      <c r="B12" s="7" t="n">
        <v>1</v>
      </c>
      <c r="C12" s="7" t="n">
        <v>5</v>
      </c>
    </row>
    <row r="14">
      <c r="A14" s="3" t="inlineStr">
        <is>
          <t>Coefficient a du débit de pointe</t>
        </is>
      </c>
      <c r="B14" s="15" t="n">
        <v>0.195</v>
      </c>
    </row>
    <row r="15">
      <c r="A15" s="3" t="inlineStr">
        <is>
          <t>Exposant b du débit de pointe</t>
        </is>
      </c>
      <c r="B15" s="14" t="n">
        <v>0.45</v>
      </c>
    </row>
    <row r="16">
      <c r="A16" s="3" t="inlineStr">
        <is>
          <t>Vitesse maximale (m/s)</t>
        </is>
      </c>
      <c r="B16" s="9" t="n">
        <v>2</v>
      </c>
    </row>
    <row r="17">
      <c r="A17" s="3" t="inlineStr">
        <is>
          <t>Débit d'une unité LU (l/s)</t>
        </is>
      </c>
      <c r="B17" s="14" t="n">
        <v>0.1</v>
      </c>
    </row>
    <row r="19">
      <c r="A19" s="3" t="inlineStr">
        <is>
          <t>Somme des unités de raccordement ΣLU</t>
        </is>
      </c>
      <c r="B19" s="8">
        <f>ROUND(MAX(B5,0),0)*MAX(C5,0)+ROUND(MAX(B6,0),0)*MAX(C6,0)+ROUND(MAX(B7,0),0)*MAX(C7,0)+ROUND(MAX(B8,0),0)*MAX(C8,0)+ROUND(MAX(B9,0),0)*MAX(C9,0)+ROUND(MAX(B10,0),0)*MAX(C10,0)+ROUND(MAX(B11,0),0)*MAX(C11,0)+ROUND(MAX(B12,0),0)*MAX(C12,0)</f>
        <v/>
      </c>
    </row>
    <row r="20">
      <c r="A20" s="3" t="inlineStr">
        <is>
          <t>Plus grand appareil LU_max</t>
        </is>
      </c>
      <c r="B20" s="8">
        <f>MAX(IF(ROUND(MAX(B5,0),0)&gt;0,MAX(C5,0),0),IF(ROUND(MAX(B6,0),0)&gt;0,MAX(C6,0),0),IF(ROUND(MAX(B7,0),0)&gt;0,MAX(C7,0),0),IF(ROUND(MAX(B8,0),0)&gt;0,MAX(C8,0),0),IF(ROUND(MAX(B9,0),0)&gt;0,MAX(C9,0),0),IF(ROUND(MAX(B10,0),0)&gt;0,MAX(C10,0),0),IF(ROUND(MAX(B11,0),0)&gt;0,MAX(C11,0),0),IF(ROUND(MAX(B12,0),0)&gt;0,MAX(C12,0),0))</f>
        <v/>
      </c>
    </row>
    <row r="21">
      <c r="A21" s="3" t="inlineStr">
        <is>
          <t>Débit de pointe, non arrondi (l/s)</t>
        </is>
      </c>
      <c r="B21" s="11">
        <f>IF(B19&gt;0,MAX(B14*B19^B15,B20*B17),0)</f>
        <v/>
      </c>
    </row>
    <row r="22">
      <c r="A22" s="3" t="inlineStr">
        <is>
          <t>Débit de pointe probable Qd (l/s)</t>
        </is>
      </c>
      <c r="B22" s="13">
        <f>ROUND(B21,2)</f>
        <v/>
      </c>
    </row>
    <row r="23">
      <c r="A23" s="3" t="inlineStr">
        <is>
          <t>Conduite principale (1 DN 15, 2 DN 20, 3 DN 25, 4 DN 32, 5 DN 40)</t>
        </is>
      </c>
      <c r="B23" s="8">
        <f>IF(ROUND((B21/1000)/(PI()*(16/2000)*(16/2000)),6)&lt;=B16,1,IF(ROUND((B21/1000)/(PI()*(20/2000)*(20/2000)),6)&lt;=B16,2,IF(ROUND((B21/1000)/(PI()*(26/2000)*(26/2000)),6)&lt;=B16,3,IF(ROUND((B21/1000)/(PI()*(33/2000)*(33/2000)),6)&lt;=B16,4,5))))</f>
        <v/>
      </c>
    </row>
    <row r="24">
      <c r="A24" s="3" t="inlineStr">
        <is>
          <t>Diamètre intérieur retenu (mm)</t>
        </is>
      </c>
      <c r="B24" s="8">
        <f>IF(B23=1,16,IF(B23=2,20,IF(B23=3,26,IF(B23=4,33,42))))</f>
        <v/>
      </c>
    </row>
    <row r="25">
      <c r="A25" s="3" t="inlineStr">
        <is>
          <t>Vitesse, non arrondie (m/s)</t>
        </is>
      </c>
      <c r="B25" s="11">
        <f>(B21/1000)/(PI()*(B24/2000)*(B24/2000))</f>
        <v/>
      </c>
    </row>
    <row r="26">
      <c r="A26" s="3" t="inlineStr">
        <is>
          <t>Vitesse (m/s)</t>
        </is>
      </c>
      <c r="B26" s="13">
        <f>ROUND(B25,2)</f>
        <v/>
      </c>
    </row>
    <row r="27">
      <c r="A27" s="3" t="inlineStr">
        <is>
          <t>Vitesse admissible (1 oui)</t>
        </is>
      </c>
      <c r="B27" s="8">
        <f>IF(ROUND(B25,6)&lt;=B16,1,0)</f>
        <v/>
      </c>
    </row>
    <row r="30">
      <c r="A30" s="3" t="inlineStr">
        <is>
          <t>Diamètre intérieur du tube de la conduite terminale (mm) : 12 pour Ø 16 × 2, 16 pour Ø 20 × 2</t>
        </is>
      </c>
      <c r="B30" s="7" t="n">
        <v>12</v>
      </c>
    </row>
    <row r="31">
      <c r="A31" s="3" t="inlineStr">
        <is>
          <t>Longueur de la conduite terminale non maintenue au chaud (m)</t>
        </is>
      </c>
      <c r="B31" s="9" t="n">
        <v>12</v>
      </c>
    </row>
    <row r="32">
      <c r="A32" s="3" t="inlineStr">
        <is>
          <t>Volume maximal (litres)</t>
        </is>
      </c>
      <c r="B32" s="9" t="n">
        <v>3</v>
      </c>
    </row>
    <row r="34">
      <c r="A34" s="3" t="inlineStr">
        <is>
          <t>Section intérieure (m²)</t>
        </is>
      </c>
      <c r="B34" s="16">
        <f>PI()*(B30/2000)*(B30/2000)</f>
        <v/>
      </c>
    </row>
    <row r="35">
      <c r="A35" s="3" t="inlineStr">
        <is>
          <t>Volume, non arrondi (litres)</t>
        </is>
      </c>
      <c r="B35" s="11">
        <f>B34*MAX(B31,0)*1000</f>
        <v/>
      </c>
    </row>
    <row r="36">
      <c r="A36" s="3" t="inlineStr">
        <is>
          <t>Volume de la conduite (litres)</t>
        </is>
      </c>
      <c r="B36" s="13">
        <f>ROUND(B35,2)</f>
        <v/>
      </c>
    </row>
    <row r="37">
      <c r="A37" s="3" t="inlineStr">
        <is>
          <t>Longueur maximale pour 3 litres (m)</t>
        </is>
      </c>
      <c r="B37" s="12">
        <f>ROUND(B32/(B34*1000),1)</f>
        <v/>
      </c>
    </row>
    <row r="38">
      <c r="A38" s="3" t="inlineStr">
        <is>
          <t>Règle des 3 litres respectée (1 oui)</t>
        </is>
      </c>
      <c r="B38" s="8">
        <f>IF(ROUND(B35,6)&lt;=B32,1,0)</f>
        <v/>
      </c>
    </row>
    <row r="41">
      <c r="A41" s="3" t="inlineStr">
        <is>
          <t>Sortie du chauffe-eau (°C)</t>
        </is>
      </c>
      <c r="B41" s="7" t="n">
        <v>60</v>
      </c>
    </row>
    <row r="42">
      <c r="A42" s="3" t="inlineStr">
        <is>
          <t>Boucle de circulation (°C)</t>
        </is>
      </c>
      <c r="B42" s="7" t="n">
        <v>55</v>
      </c>
    </row>
    <row r="43">
      <c r="A43" s="3" t="inlineStr">
        <is>
          <t>Point de soutirage (°C)</t>
        </is>
      </c>
      <c r="B43" s="7" t="n">
        <v>50</v>
      </c>
    </row>
    <row r="44">
      <c r="A44" s="3" t="inlineStr">
        <is>
          <t>Eau froide (°C)</t>
        </is>
      </c>
      <c r="B44" s="7" t="n">
        <v>18</v>
      </c>
    </row>
    <row r="45">
      <c r="A45" s="3" t="inlineStr">
        <is>
          <t>Minimum chauffe-eau (°C)</t>
        </is>
      </c>
      <c r="B45" s="7" t="n">
        <v>60</v>
      </c>
    </row>
    <row r="46">
      <c r="A46" s="3" t="inlineStr">
        <is>
          <t>Minimum boucle (°C)</t>
        </is>
      </c>
      <c r="B46" s="7" t="n">
        <v>55</v>
      </c>
    </row>
    <row r="47">
      <c r="A47" s="3" t="inlineStr">
        <is>
          <t>Minimum soutirage (°C)</t>
        </is>
      </c>
      <c r="B47" s="7" t="n">
        <v>50</v>
      </c>
    </row>
    <row r="48">
      <c r="A48" s="3" t="inlineStr">
        <is>
          <t>Eau froide : au-dessous de (°C)</t>
        </is>
      </c>
      <c r="B48" s="7" t="n">
        <v>25</v>
      </c>
    </row>
    <row r="50">
      <c r="A50" s="3" t="inlineStr">
        <is>
          <t>Chauffe-eau conforme (1 oui)</t>
        </is>
      </c>
      <c r="B50" s="8">
        <f>IF(B41&gt;=B45,1,0)</f>
        <v/>
      </c>
    </row>
    <row r="51">
      <c r="A51" s="3" t="inlineStr">
        <is>
          <t>Boucle conforme (1 oui)</t>
        </is>
      </c>
      <c r="B51" s="8">
        <f>IF(B42&gt;=B46,1,0)</f>
        <v/>
      </c>
    </row>
    <row r="52">
      <c r="A52" s="3" t="inlineStr">
        <is>
          <t>Soutirage conforme (1 oui)</t>
        </is>
      </c>
      <c r="B52" s="8">
        <f>IF(B43&gt;=B47,1,0)</f>
        <v/>
      </c>
    </row>
    <row r="53">
      <c r="A53" s="3" t="inlineStr">
        <is>
          <t>Eau froide conforme (1 oui)</t>
        </is>
      </c>
      <c r="B53" s="8">
        <f>IF(B44&lt;B48,1,0)</f>
        <v/>
      </c>
    </row>
    <row r="54">
      <c r="A54" s="3" t="inlineStr">
        <is>
          <t>Toutes les températures conformes (1 oui)</t>
        </is>
      </c>
      <c r="B54" s="8">
        <f>IF(AND(B50=1,B51=1,B52=1,B53=1),1,0)</f>
        <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B37"/>
  <sheetViews>
    <sheetView showGridLines="0" workbookViewId="0">
      <selection activeCell="A1" sqref="A1"/>
    </sheetView>
  </sheetViews>
  <sheetFormatPr baseColWidth="8" defaultRowHeight="15"/>
  <cols>
    <col width="88" customWidth="1" min="1" max="1"/>
    <col width="18" customWidth="1" min="2" max="2"/>
  </cols>
  <sheetData>
    <row r="1">
      <c r="A1" s="5" t="inlineStr">
        <is>
          <t>6.19 · Photovoltaïque : puissance, production, rétribution unique Pronovo et rentabilité</t>
        </is>
      </c>
    </row>
    <row r="2">
      <c r="A2" s="6" t="inlineStr">
        <is>
          <t>Cellules jaunes = à saisir (barème en vigueur : 360 CHF/kW ajoutée, 400 CHF/kW intégrée jusqu'à 30 kW ; dès le 1er avril 2027 : 400 et 440). Tranche au-delà de 30 kW, contribution de base et bonus d'inclinaison : NON vérifiés. Coût, impôt, tarifs : hypothèses. Batterie non incluse.</t>
        </is>
      </c>
    </row>
    <row r="4">
      <c r="A4" s="3" t="inlineStr">
        <is>
          <t>Surface nette de toiture (m²)</t>
        </is>
      </c>
      <c r="B4" s="9" t="n">
        <v>60</v>
      </c>
    </row>
    <row r="5">
      <c r="A5" s="3" t="inlineStr">
        <is>
          <t>Puissance d'un panneau (Wc)</t>
        </is>
      </c>
      <c r="B5" s="7" t="n">
        <v>440</v>
      </c>
    </row>
    <row r="6">
      <c r="A6" s="3" t="inlineStr">
        <is>
          <t>Mode de pose (1 ajoutée, 2 intégrée)</t>
        </is>
      </c>
      <c r="B6" s="7" t="n">
        <v>1</v>
      </c>
    </row>
    <row r="7">
      <c r="A7" s="3" t="inlineStr">
        <is>
          <t>Installation en façade, 75° ou plus (1 oui, 0 non)</t>
        </is>
      </c>
      <c r="B7" s="7" t="n">
        <v>0</v>
      </c>
    </row>
    <row r="8">
      <c r="A8" s="3" t="inlineStr">
        <is>
          <t>Rendement de la région (kWh/kWc/an)</t>
        </is>
      </c>
      <c r="B8" s="7" t="n">
        <v>1050</v>
      </c>
    </row>
    <row r="9">
      <c r="A9" s="3" t="inlineStr">
        <is>
          <t>Facteur d'orientation (%)</t>
        </is>
      </c>
      <c r="B9" s="7" t="n">
        <v>100</v>
      </c>
    </row>
    <row r="10">
      <c r="A10" s="3" t="inlineStr">
        <is>
          <t>Tarif de rachat (ct./kWh)</t>
        </is>
      </c>
      <c r="B10" s="9" t="n">
        <v>11</v>
      </c>
    </row>
    <row r="11">
      <c r="A11" s="3" t="inlineStr">
        <is>
          <t>Prix de l'électricité évitée (ct./kWh)</t>
        </is>
      </c>
      <c r="B11" s="9" t="n">
        <v>29</v>
      </c>
    </row>
    <row r="12">
      <c r="A12" s="3" t="inlineStr">
        <is>
          <t>Taux d'autoconsommation (%)</t>
        </is>
      </c>
      <c r="B12" s="7" t="n">
        <v>35</v>
      </c>
    </row>
    <row r="13">
      <c r="A13" s="3" t="inlineStr">
        <is>
          <t>Contribution liée à la puissance, installation ajoutée (CHF/kW)</t>
        </is>
      </c>
      <c r="B13" s="7" t="n">
        <v>360</v>
      </c>
    </row>
    <row r="14">
      <c r="A14" s="3" t="inlineStr">
        <is>
          <t>Contribution liée à la puissance, installation intégrée (CHF/kW)</t>
        </is>
      </c>
      <c r="B14" s="7" t="n">
        <v>400</v>
      </c>
    </row>
    <row r="15">
      <c r="A15" s="3" t="inlineStr">
        <is>
          <t>Seuil de la première tranche (kW)</t>
        </is>
      </c>
      <c r="B15" s="7" t="n">
        <v>30</v>
      </c>
    </row>
    <row r="16">
      <c r="A16" s="3" t="inlineStr">
        <is>
          <t>Tranche au-delà du seuil (CHF/kW, non vérifiée)</t>
        </is>
      </c>
      <c r="B16" s="7" t="n">
        <v>300</v>
      </c>
    </row>
    <row r="17">
      <c r="A17" s="3" t="inlineStr">
        <is>
          <t>Contribution de base, Grundbeitrag (CHF, non vérifiée)</t>
        </is>
      </c>
      <c r="B17" s="7" t="n">
        <v>0</v>
      </c>
    </row>
    <row r="18">
      <c r="A18" s="3" t="inlineStr">
        <is>
          <t>Bonus d'inclinaison en façade (CHF/kW, non vérifié)</t>
        </is>
      </c>
      <c r="B18" s="7" t="n">
        <v>0</v>
      </c>
    </row>
    <row r="19">
      <c r="A19" s="3" t="inlineStr">
        <is>
          <t>Coût de l'installation (CHF/kWc, batterie non incluse)</t>
        </is>
      </c>
      <c r="B19" s="7" t="n">
        <v>2200</v>
      </c>
    </row>
    <row r="20">
      <c r="A20" s="3" t="inlineStr">
        <is>
          <t>Taux d'imposition marginal (%)</t>
        </is>
      </c>
      <c r="B20" s="7" t="n">
        <v>25</v>
      </c>
    </row>
    <row r="21">
      <c r="A21" s="3" t="inlineStr">
        <is>
          <t>Surface par panneau (m²)</t>
        </is>
      </c>
      <c r="B21" s="9" t="n">
        <v>2</v>
      </c>
    </row>
    <row r="23">
      <c r="A23" s="3" t="inlineStr">
        <is>
          <t>Panneaux</t>
        </is>
      </c>
      <c r="B23" s="8">
        <f>ROUNDDOWN(ROUND(MAX(B4,0)/B21,6),0)</f>
        <v/>
      </c>
    </row>
    <row r="24">
      <c r="A24" s="3" t="inlineStr">
        <is>
          <t>Puissance crête, non arrondie (kWc)</t>
        </is>
      </c>
      <c r="B24" s="11">
        <f>B23*(MAX(B5,0)/1000)</f>
        <v/>
      </c>
    </row>
    <row r="25">
      <c r="A25" s="3" t="inlineStr">
        <is>
          <t>Puissance crête (kWc)</t>
        </is>
      </c>
      <c r="B25" s="13">
        <f>ROUND(B24,2)</f>
        <v/>
      </c>
    </row>
    <row r="26">
      <c r="A26" s="3" t="inlineStr">
        <is>
          <t>Production, non arrondie (kWh/an)</t>
        </is>
      </c>
      <c r="B26" s="13">
        <f>B24*B8*B9/100</f>
        <v/>
      </c>
    </row>
    <row r="27">
      <c r="A27" s="3" t="inlineStr">
        <is>
          <t>Production annuelle (kWh)</t>
        </is>
      </c>
      <c r="B27" s="8">
        <f>ROUND(B26,0)</f>
        <v/>
      </c>
    </row>
    <row r="28">
      <c r="A28" s="3" t="inlineStr">
        <is>
          <t>Rétribution unique, non arrondie (CHF)</t>
        </is>
      </c>
      <c r="B28" s="13">
        <f>IF(B24&gt;0,B17,0)+MIN(B24,B15)*IF(B6=2,B14,B13)+MAX(0,B24-B15)*B16+IF(B7=1,B24*B18,0)</f>
        <v/>
      </c>
    </row>
    <row r="29">
      <c r="A29" s="3" t="inlineStr">
        <is>
          <t>Rétribution unique indicative (CHF)</t>
        </is>
      </c>
      <c r="B29" s="8">
        <f>ROUND(B28,0)</f>
        <v/>
      </c>
    </row>
    <row r="30">
      <c r="A30" s="3" t="inlineStr">
        <is>
          <t>Gain annuel, non arrondi (CHF)</t>
        </is>
      </c>
      <c r="B30" s="13">
        <f>B26*(B12/100*B11+(1-B12/100)*B10)/100</f>
        <v/>
      </c>
    </row>
    <row r="31">
      <c r="A31" s="3" t="inlineStr">
        <is>
          <t>Gain annuel (CHF)</t>
        </is>
      </c>
      <c r="B31" s="8">
        <f>ROUND(B30,0)</f>
        <v/>
      </c>
    </row>
    <row r="32">
      <c r="A32" s="3" t="inlineStr">
        <is>
          <t>Investissement, non arrondi (CHF)</t>
        </is>
      </c>
      <c r="B32" s="13">
        <f>B24*B19</f>
        <v/>
      </c>
    </row>
    <row r="33">
      <c r="A33" s="3" t="inlineStr">
        <is>
          <t>Investissement (CHF)</t>
        </is>
      </c>
      <c r="B33" s="8">
        <f>ROUND(B32,0)</f>
        <v/>
      </c>
    </row>
    <row r="34">
      <c r="A34" s="3" t="inlineStr">
        <is>
          <t>Investissement net, non arrondi (CHF)</t>
        </is>
      </c>
      <c r="B34" s="13">
        <f>MAX(0,B32-B28)*(1-B20/100)</f>
        <v/>
      </c>
    </row>
    <row r="35">
      <c r="A35" s="3" t="inlineStr">
        <is>
          <t>Investissement net (CHF)</t>
        </is>
      </c>
      <c r="B35" s="8">
        <f>ROUND(B34,0)</f>
        <v/>
      </c>
    </row>
    <row r="36">
      <c r="A36" s="3" t="inlineStr">
        <is>
          <t>Temps de retour (ans, 0 si gain nul)</t>
        </is>
      </c>
      <c r="B36" s="12">
        <f>IF(B30&gt;0,ROUND(B34/MAX(B30,0.000001),1),0)</f>
        <v/>
      </c>
    </row>
    <row r="37">
      <c r="A37" s="3" t="inlineStr">
        <is>
          <t>Au-delà de 100 kWc (1 oui)</t>
        </is>
      </c>
      <c r="B37" s="8">
        <f>IF(ROUND(B24,6)&gt;=100,1,0)</f>
        <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B31"/>
  <sheetViews>
    <sheetView showGridLines="0" workbookViewId="0">
      <selection activeCell="A1" sqref="A1"/>
    </sheetView>
  </sheetViews>
  <sheetFormatPr baseColWidth="8" defaultRowHeight="15"/>
  <cols>
    <col width="88" customWidth="1" min="1" max="1"/>
    <col width="18" customWidth="1" min="2" max="2"/>
  </cols>
  <sheetData>
    <row r="1">
      <c r="A1" s="5" t="inlineStr">
        <is>
          <t>6.20 · Bornes de recharge en parking collectif : gestion de charge (cahier technique SIA 2060)</t>
        </is>
      </c>
    </row>
    <row r="2">
      <c r="A2" s="6" t="inlineStr">
        <is>
          <t>Cellules jaunes = à saisir. La SIA 2060 est un cahier technique non contraignant, non consulté. Puissance par borne active avec gestion de charge : 1,5 à 2,5 kW selon le cahier des charges (2,0 par défaut), au-dessus du besoin moyen en énergie. Ampères en triphasé 400 V.</t>
        </is>
      </c>
    </row>
    <row r="4">
      <c r="A4" s="3" t="inlineStr">
        <is>
          <t>Places de parc</t>
        </is>
      </c>
      <c r="B4" s="7" t="n">
        <v>24</v>
      </c>
    </row>
    <row r="5">
      <c r="A5" s="3" t="inlineStr">
        <is>
          <t>Taux de bornes actives (%)</t>
        </is>
      </c>
      <c r="B5" s="7" t="n">
        <v>50</v>
      </c>
    </row>
    <row r="6">
      <c r="A6" s="3" t="inlineStr">
        <is>
          <t>Puissance nominale d'une borne (kW)</t>
        </is>
      </c>
      <c r="B6" s="7" t="n">
        <v>11</v>
      </c>
    </row>
    <row r="7">
      <c r="A7" s="3" t="inlineStr">
        <is>
          <t>Kilométrage quotidien (km)</t>
        </is>
      </c>
      <c r="B7" s="7" t="n">
        <v>45</v>
      </c>
    </row>
    <row r="8">
      <c r="A8" s="3" t="inlineStr">
        <is>
          <t>Fenêtre de recharge (heures)</t>
        </is>
      </c>
      <c r="B8" s="9" t="n">
        <v>10</v>
      </c>
    </row>
    <row r="9">
      <c r="A9" s="3" t="inlineStr">
        <is>
          <t>Réserve de puissance au tableau (kW)</t>
        </is>
      </c>
      <c r="B9" s="9" t="n">
        <v>35</v>
      </c>
    </row>
    <row r="10">
      <c r="A10" s="3" t="inlineStr">
        <is>
          <t>Puissance allouée par borne active avec gestion de charge (kW)</t>
        </is>
      </c>
      <c r="B10" s="9" t="n">
        <v>2</v>
      </c>
    </row>
    <row r="11">
      <c r="A11" s="3" t="inlineStr">
        <is>
          <t>Consommation (kWh pour 100 km)</t>
        </is>
      </c>
      <c r="B11" s="7" t="n">
        <v>20</v>
      </c>
    </row>
    <row r="12">
      <c r="A12" s="3" t="inlineStr">
        <is>
          <t>Tension (V)</t>
        </is>
      </c>
      <c r="B12" s="7" t="n">
        <v>400</v>
      </c>
    </row>
    <row r="14">
      <c r="A14" s="3" t="inlineStr">
        <is>
          <t>Bornes actives</t>
        </is>
      </c>
      <c r="B14" s="8">
        <f>ROUND(MAX(B4,0)*MAX(B5,0)/100,0)</f>
        <v/>
      </c>
    </row>
    <row r="15">
      <c r="A15" s="3" t="inlineStr">
        <is>
          <t>Puissance sans gestion de charge, non arrondie (kW)</t>
        </is>
      </c>
      <c r="B15" s="13">
        <f>B14*B6</f>
        <v/>
      </c>
    </row>
    <row r="16">
      <c r="A16" s="3" t="inlineStr">
        <is>
          <t>Puissance sans gestion de charge (kW)</t>
        </is>
      </c>
      <c r="B16" s="12">
        <f>ROUND(B15,1)</f>
        <v/>
      </c>
    </row>
    <row r="17">
      <c r="A17" s="3" t="inlineStr">
        <is>
          <t>Intensité sans gestion de charge (A)</t>
        </is>
      </c>
      <c r="B17" s="8">
        <f>ROUND(B15*1000/(SQRT(3)*B12),0)</f>
        <v/>
      </c>
    </row>
    <row r="18">
      <c r="A18" s="3" t="inlineStr">
        <is>
          <t>Énergie par véhicule, non arrondie (kWh)</t>
        </is>
      </c>
      <c r="B18" s="13">
        <f>MAX(B7,0)*B11/100</f>
        <v/>
      </c>
    </row>
    <row r="19">
      <c r="A19" s="3" t="inlineStr">
        <is>
          <t>Énergie par véhicule et par nuit (kWh)</t>
        </is>
      </c>
      <c r="B19" s="12">
        <f>ROUND(B18,1)</f>
        <v/>
      </c>
    </row>
    <row r="20">
      <c r="A20" s="3" t="inlineStr">
        <is>
          <t>Puissance moyenne nécessaire, non arrondie (kW)</t>
        </is>
      </c>
      <c r="B20" s="11">
        <f>IF(B8&gt;0,B18/MAX(B8,0.000001),0)</f>
        <v/>
      </c>
    </row>
    <row r="21">
      <c r="A21" s="3" t="inlineStr">
        <is>
          <t>Puissance moyenne par véhicule (kW)</t>
        </is>
      </c>
      <c r="B21" s="13">
        <f>ROUND(B20,2)</f>
        <v/>
      </c>
    </row>
    <row r="22">
      <c r="A22" s="3" t="inlineStr">
        <is>
          <t>Puissance moyenne au total (kW)</t>
        </is>
      </c>
      <c r="B22" s="12">
        <f>ROUND(B14*B20,1)</f>
        <v/>
      </c>
    </row>
    <row r="23">
      <c r="A23" s="3" t="inlineStr">
        <is>
          <t>Puissance avec gestion dynamique, non arrondie (kW)</t>
        </is>
      </c>
      <c r="B23" s="13">
        <f>B14*MAX(B10,0)</f>
        <v/>
      </c>
    </row>
    <row r="24">
      <c r="A24" s="3" t="inlineStr">
        <is>
          <t>Puissance avec gestion dynamique (kW)</t>
        </is>
      </c>
      <c r="B24" s="12">
        <f>ROUND(B23,1)</f>
        <v/>
      </c>
    </row>
    <row r="25">
      <c r="A25" s="3" t="inlineStr">
        <is>
          <t>Intensité avec gestion dynamique (A)</t>
        </is>
      </c>
      <c r="B25" s="8">
        <f>ROUND(B23*1000/(SQRT(3)*B12),0)</f>
        <v/>
      </c>
    </row>
    <row r="26">
      <c r="A26" s="3" t="inlineStr">
        <is>
          <t>Durée de recharge, non arrondie (h, 0 si puissance nulle)</t>
        </is>
      </c>
      <c r="B26" s="11">
        <f>IF(B10&gt;0,B18/MAX(B10,0.000001),0)</f>
        <v/>
      </c>
    </row>
    <row r="27">
      <c r="A27" s="3" t="inlineStr">
        <is>
          <t>Durée de recharge (h)</t>
        </is>
      </c>
      <c r="B27" s="12">
        <f>ROUND(B26,1)</f>
        <v/>
      </c>
    </row>
    <row r="28">
      <c r="A28" s="3" t="inlineStr">
        <is>
          <t>Intensité de la réserve (A)</t>
        </is>
      </c>
      <c r="B28" s="8">
        <f>ROUND(B9*1000/(SQRT(3)*B12),0)</f>
        <v/>
      </c>
    </row>
    <row r="29">
      <c r="A29" s="3" t="inlineStr">
        <is>
          <t>Suffisant sans gestion de charge (1 oui)</t>
        </is>
      </c>
      <c r="B29" s="8">
        <f>IF(ROUND(B15,6)&lt;=ROUND(B9,6),1,0)</f>
        <v/>
      </c>
    </row>
    <row r="30">
      <c r="A30" s="3" t="inlineStr">
        <is>
          <t>Recharge dans la fenêtre (1 oui)</t>
        </is>
      </c>
      <c r="B30" s="8">
        <f>IF(B10&gt;0,IF(ROUND(B26,6)&lt;=B8,1,0),0)</f>
        <v/>
      </c>
    </row>
    <row r="31">
      <c r="A31" s="3" t="inlineStr">
        <is>
          <t>Suffisant avec gestion dynamique (1 oui)</t>
        </is>
      </c>
      <c r="B31" s="8">
        <f>IF(AND(ROUND(B23,6)&lt;=ROUND(B9,6),B30=1),1,0)</f>
        <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2026-11-06T17:00:14Z</dcterms:created>
  <dcterms:modified xsi:type="dcterms:W3CDTF">2026-11-06T17:00:14Z</dcterms:modified>
</cp:coreProperties>
</file>