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À lire" sheetId="1" state="visible" r:id="rId1"/>
    <sheet name="Chape (6.21)" sheetId="2" state="visible" r:id="rId2"/>
    <sheet name="Plâtrerie (6.22)" sheetId="3" state="visible" r:id="rId3"/>
    <sheet name="Carrelage (6.23)" sheetId="4" state="visible" r:id="rId4"/>
    <sheet name="Parquet (6.24)" sheetId="5" state="visible" r:id="rId5"/>
    <sheet name="Sols souples (6.25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5" fillId="2" borderId="1" pivotButton="0" quotePrefix="0" xfId="0"/>
    <xf numFmtId="1" fontId="5" fillId="2" borderId="1" pivotButton="0" quotePrefix="0" xfId="0"/>
    <xf numFmtId="2" fontId="5" fillId="2" borderId="1" pivotButton="0" quotePrefix="0" xfId="0"/>
    <xf numFmtId="1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2" fontId="4" fillId="3" borderId="1" pivotButton="0" quotePrefix="0" xfId="0"/>
    <xf numFmtId="1" fontId="3" fillId="0" borderId="0" pivotButton="0" quotePrefix="0" xfId="0"/>
    <xf numFmtId="166" fontId="4" fillId="3" borderId="1" pivotButton="0" quotePrefix="0" xfId="0"/>
    <xf numFmtId="166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ACIP 2026 : normes SIA et calculateurs par corps de métier, accordéon D (Pilier 6, chapitres 21 à 25 : sols, chapes et plâtrerie)</t>
        </is>
      </c>
    </row>
    <row r="2">
      <c r="A2" s="2" t="inlineStr">
        <is>
          <t>Art Construction Index de Prix · art-construction.ch/outils/ · classeur de référence des outils 6.21 à 6.25</t>
        </is>
      </c>
    </row>
    <row r="3">
      <c r="A3" s="3" t="inlineStr"/>
    </row>
    <row r="4">
      <c r="A4" s="4" t="inlineStr">
        <is>
          <t>Contenu</t>
        </is>
      </c>
    </row>
    <row r="5">
      <c r="A5" s="3" t="inlineStr">
        <is>
          <t>• Chape (6.21) : épaisseur minimale, volume, poids, séchage, humidité CM, champs de chape et calendrier de mise en chauffe, ciment ou anhydrite (SIA 251).</t>
        </is>
      </c>
    </row>
    <row r="6">
      <c r="A6" s="3" t="inlineStr">
        <is>
          <t>• Plâtrerie (6.22) : surface nette, plaques, rails UW, montants CW, laine, vis et enduit selon les qualités Q1 à Q4 (SIA 242).</t>
        </is>
      </c>
    </row>
    <row r="7">
      <c r="A7" s="3" t="inlineStr">
        <is>
          <t>• Carrelage (6.23) : double encollage, colle, joint, carreaux, humidité du support et étanchéité liquide (SIA 248, SIA 271/1).</t>
        </is>
      </c>
    </row>
    <row r="8">
      <c r="A8" s="3" t="inlineStr">
        <is>
          <t>• Parquet (6.24) : résistance thermique Rλ, humidité CM et quantités (SIA 253).</t>
        </is>
      </c>
    </row>
    <row r="9">
      <c r="A9" s="3" t="inlineStr">
        <is>
          <t>• Sols souples et résines (6.25) : primaire, ragréage, colle, résine, quartz et contrôle du support (SIA 253, SIA 252).</t>
        </is>
      </c>
    </row>
    <row r="10">
      <c r="A10" s="3" t="inlineStr"/>
    </row>
    <row r="11">
      <c r="A11" s="4" t="inlineStr">
        <is>
          <t>Avertissement</t>
        </is>
      </c>
    </row>
    <row r="12">
      <c r="A12" s="3" t="inlineStr">
        <is>
          <t>Les cellules jaunes sont à saisir ; les cellules bleues sont des formules. Délais de mise en chauffe (21 et 7 jours), protocole de la SIA 251 (3 jours à 25 °C, 4 jours à la température maximale, 50 °C au plus en anhydrite) et tableau des champs de chape : extraits de la SIA 251:2008 reproduits par un mémento de suissetec (norme payante non consultée). Écarts : le cahier des charges parle de joints à 40 m² et 8 m, la norme donne 6 m et 1,5 : 1 (ciment chauffé), 8 m et 2 : 1 (ciment), 8 m et 1,5 : 1 (anhydrite chauffée), sans limite (anhydrite) ; la montée de 5 K par jour du cahier n'est pas dans le mémento (protocole proposé en option, descente de 10 K par jour : hypothèse) ; le séchage de 6,5 cm est de 9 semaines d'après la règle du cahier (qui annonce 6 à 8). Seuils CM : ceux du ciment (2,0 / 1,8) et de l'anhydrite (0,5 / 0,3) sont confirmés par un tableau allemand ; 1,8 / 1,5 pour le parquet, les sols souples et les résines sur ciment : cahier, non vérifiés en Suisse (des sources allemandes donnent 2,0 / 1,8). Plâtrerie : ratios et seuil de non-déduction du cahier, non vérifiés ; hypothèses de l'outil : bande à joints, vis, montants selon l'entraxe. L'échelle Q1 à Q4 vient du Bundesverband der Gipsindustrie, pas d'une « directive ASIPG » non retrouvée. Carrelage : consommations de colle et règle des 900 cm² du cahier ; étanchéité liquide : hypothèse (la SIA 271/1 existe depuis mai 2025). Parquet : Rλ ≤ 0,15 m²K/W confirmé par des fabricants ; primaire : hypothèse. Sols souples : titre de la SIA 252 non retrouvé ; équivalence R / GS de la glissance non vérifiée. Information indicative qui ne remplace pas l'avis du fabricant, du chapiste, du plâtrier, du carreleur, du parqueteur ou du poseur de résine.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1"/>
  <sheetViews>
    <sheetView showGridLines="0" workbookViewId="0">
      <selection activeCell="A1" sqref="A1"/>
    </sheetView>
  </sheetViews>
  <sheetFormatPr baseColWidth="8" defaultRowHeight="15"/>
  <cols>
    <col width="92" customWidth="1" min="1" max="1"/>
    <col width="22" customWidth="1" min="2" max="2"/>
    <col width="22" customWidth="1" min="3" max="3"/>
  </cols>
  <sheetData>
    <row r="1">
      <c r="A1" s="5" t="inlineStr">
        <is>
          <t>6.21 · Chape flottante : épaisseur, volume, séchage, humidité CM, champs et mise en chauffe (SIA 251)</t>
        </is>
      </c>
    </row>
    <row r="2">
      <c r="A2" s="6" t="inlineStr">
        <is>
          <t>Cellules jaunes = à saisir. Délais de 21 / 7 jours, protocole « 3 jours à 25 °C, 4 jours à la température maximale » et tableau des champs : mémento suissetec (extraits de la SIA 251:2008, non consultée). Épaisseurs, séchage, poids et seuils CM : cahier des charges. Descente de 10 K par jour : hypothèse.</t>
        </is>
      </c>
    </row>
    <row r="4">
      <c r="A4" s="3" t="inlineStr">
        <is>
          <t>Surface de chape (m²)</t>
        </is>
      </c>
      <c r="B4" s="7" t="n">
        <v>140</v>
      </c>
    </row>
    <row r="5">
      <c r="A5" s="3" t="inlineStr">
        <is>
          <t>Liant (1 ciment CT, 2 anhydrite CAF)</t>
        </is>
      </c>
      <c r="B5" s="8" t="n">
        <v>1</v>
      </c>
    </row>
    <row r="6">
      <c r="A6" s="3" t="inlineStr">
        <is>
          <t>Chauffage au sol (1 oui, 0 non)</t>
        </is>
      </c>
      <c r="B6" s="8" t="n">
        <v>1</v>
      </c>
    </row>
    <row r="7">
      <c r="A7" s="3" t="inlineStr">
        <is>
          <t>Diamètre extérieur des tubes (mm)</t>
        </is>
      </c>
      <c r="B7" s="7" t="n">
        <v>17</v>
      </c>
    </row>
    <row r="8">
      <c r="A8" s="3" t="inlineStr">
        <is>
          <t>Épaisseur totale (mm)</t>
        </is>
      </c>
      <c r="B8" s="7" t="n">
        <v>65</v>
      </c>
    </row>
    <row r="9">
      <c r="A9" s="3" t="inlineStr">
        <is>
          <t>Revêtement (1 carrelage, 2 parquet, 3 sol souple ou résine)</t>
        </is>
      </c>
      <c r="B9" s="8" t="n">
        <v>1</v>
      </c>
    </row>
    <row r="10">
      <c r="A10" s="3" t="inlineStr">
        <is>
          <t>Température maximale de départ (°C)</t>
        </is>
      </c>
      <c r="B10" s="7" t="n">
        <v>45</v>
      </c>
    </row>
    <row r="11">
      <c r="A11" s="3" t="inlineStr">
        <is>
          <t>Protocole (1 SIA 251 mémento, 2 progressif du cahier)</t>
        </is>
      </c>
      <c r="B11" s="8" t="n">
        <v>1</v>
      </c>
    </row>
    <row r="12">
      <c r="A12" s="3" t="inlineStr">
        <is>
          <t>Maintien à la température maximale, protocole progressif (jours)</t>
        </is>
      </c>
      <c r="B12" s="8" t="n">
        <v>4</v>
      </c>
    </row>
    <row r="13">
      <c r="A13" s="3" t="inlineStr">
        <is>
          <t>Champ : longueur (m)</t>
        </is>
      </c>
      <c r="B13" s="7" t="n">
        <v>5.5</v>
      </c>
    </row>
    <row r="14">
      <c r="A14" s="3" t="inlineStr">
        <is>
          <t>Champ : largeur (m)</t>
        </is>
      </c>
      <c r="B14" s="7" t="n">
        <v>4.5</v>
      </c>
    </row>
    <row r="15">
      <c r="A15" s="3" t="inlineStr">
        <is>
          <t>Recouvrement des tubes, ciment (mm)</t>
        </is>
      </c>
      <c r="B15" s="8" t="n">
        <v>45</v>
      </c>
    </row>
    <row r="16">
      <c r="A16" s="3" t="inlineStr">
        <is>
          <t>Recouvrement des tubes, anhydrite : bas (mm)</t>
        </is>
      </c>
      <c r="B16" s="8" t="n">
        <v>35</v>
      </c>
    </row>
    <row r="17">
      <c r="A17" s="3" t="inlineStr">
        <is>
          <t>Recouvrement des tubes, anhydrite : haut (mm)</t>
        </is>
      </c>
      <c r="B17" s="8" t="n">
        <v>40</v>
      </c>
    </row>
    <row r="18">
      <c r="A18" s="3" t="inlineStr">
        <is>
          <t>Épaisseur minimale sans chauffage, ciment (mm)</t>
        </is>
      </c>
      <c r="B18" s="8" t="n">
        <v>45</v>
      </c>
    </row>
    <row r="19">
      <c r="A19" s="3" t="inlineStr">
        <is>
          <t>Épaisseur minimale sans chauffage, anhydrite (mm, hypothèse)</t>
        </is>
      </c>
      <c r="B19" s="8" t="n">
        <v>35</v>
      </c>
    </row>
    <row r="20">
      <c r="A20" s="3" t="inlineStr">
        <is>
          <t>Foisonnement du mortier</t>
        </is>
      </c>
      <c r="B20" s="9" t="n">
        <v>1.05</v>
      </c>
    </row>
    <row r="21">
      <c r="A21" s="3" t="inlineStr">
        <is>
          <t>Poids par cm, bas (kg/m²)</t>
        </is>
      </c>
      <c r="B21" s="8" t="n">
        <v>20</v>
      </c>
    </row>
    <row r="22">
      <c r="A22" s="3" t="inlineStr">
        <is>
          <t>Poids par cm, haut (kg/m²)</t>
        </is>
      </c>
      <c r="B22" s="8" t="n">
        <v>22</v>
      </c>
    </row>
    <row r="24">
      <c r="A24" s="3" t="inlineStr">
        <is>
          <t>Recouvrement minimal, bas (mm)</t>
        </is>
      </c>
      <c r="B24" s="10">
        <f>IF(B5=1,B15,B16)</f>
        <v/>
      </c>
    </row>
    <row r="25">
      <c r="A25" s="3" t="inlineStr">
        <is>
          <t>Recouvrement minimal, haut (mm)</t>
        </is>
      </c>
      <c r="B25" s="10">
        <f>IF(B5=1,B15,B17)</f>
        <v/>
      </c>
    </row>
    <row r="26">
      <c r="A26" s="3" t="inlineStr">
        <is>
          <t>Épaisseur minimale, bas (mm)</t>
        </is>
      </c>
      <c r="B26" s="11">
        <f>IF(B6=1,MAX(B7,0)+B24,IF(B5=1,B18,B19))</f>
        <v/>
      </c>
    </row>
    <row r="27">
      <c r="A27" s="3" t="inlineStr">
        <is>
          <t>Épaisseur minimale, haut (mm)</t>
        </is>
      </c>
      <c r="B27" s="11">
        <f>IF(B6=1,MAX(B7,0)+B25,IF(B5=1,B18,B19))</f>
        <v/>
      </c>
    </row>
    <row r="28">
      <c r="A28" s="3" t="inlineStr">
        <is>
          <t>Verdict d'épaisseur (0 suffisante, 1 à confirmer, 2 insuffisante)</t>
        </is>
      </c>
      <c r="B28" s="10">
        <f>IF(ROUND(MAX(B8,0),6)&gt;=ROUND(B27,6),0,IF(ROUND(MAX(B8,0),6)&gt;=ROUND(B26,6),1,2))</f>
        <v/>
      </c>
    </row>
    <row r="29">
      <c r="A29" s="3" t="inlineStr">
        <is>
          <t>Volume, non arrondi (m³)</t>
        </is>
      </c>
      <c r="B29" s="12">
        <f>MAX(B4,0)*(MAX(B8,0)/1000)*B20</f>
        <v/>
      </c>
    </row>
    <row r="30">
      <c r="A30" s="3" t="inlineStr">
        <is>
          <t>Volume à commander (m³)</t>
        </is>
      </c>
      <c r="B30" s="13">
        <f>ROUND(B29,2)</f>
        <v/>
      </c>
    </row>
    <row r="31">
      <c r="A31" s="3" t="inlineStr">
        <is>
          <t>Poids, bas (kg/m²)</t>
        </is>
      </c>
      <c r="B31" s="11">
        <f>ROUND(B21*MAX(B8,0)/10,1)</f>
        <v/>
      </c>
    </row>
    <row r="32">
      <c r="A32" s="3" t="inlineStr">
        <is>
          <t>Poids, haut (kg/m²)</t>
        </is>
      </c>
      <c r="B32" s="11">
        <f>ROUND(B22*MAX(B8,0)/10,1)</f>
        <v/>
      </c>
    </row>
    <row r="33">
      <c r="A33" s="3" t="inlineStr">
        <is>
          <t>Poids total, bas (kg)</t>
        </is>
      </c>
      <c r="B33" s="10">
        <f>ROUND(MAX(B4,0)*B21*MAX(B8,0)/10,0)</f>
        <v/>
      </c>
    </row>
    <row r="34">
      <c r="A34" s="3" t="inlineStr">
        <is>
          <t>Poids total, haut (kg)</t>
        </is>
      </c>
      <c r="B34" s="10">
        <f>ROUND(MAX(B4,0)*B22*MAX(B8,0)/10,0)</f>
        <v/>
      </c>
    </row>
    <row r="35">
      <c r="A35" s="3" t="inlineStr">
        <is>
          <t>Séchage, non arrondi (semaines)</t>
        </is>
      </c>
      <c r="B35" s="12">
        <f>MIN(MAX(B8,0)/10,4)*1+MAX(0,MAX(B8,0)/10-4)*2</f>
        <v/>
      </c>
    </row>
    <row r="36">
      <c r="A36" s="3" t="inlineStr">
        <is>
          <t>Séchage naturel (semaines)</t>
        </is>
      </c>
      <c r="B36" s="11">
        <f>ROUND(B35,1)</f>
        <v/>
      </c>
    </row>
    <row r="37">
      <c r="A37" s="3" t="inlineStr">
        <is>
          <t>Délai avant la mise en chauffe (jours)</t>
        </is>
      </c>
      <c r="B37" s="10">
        <f>IF(B5=1,21,7)</f>
        <v/>
      </c>
    </row>
    <row r="38">
      <c r="A38" s="3" t="inlineStr">
        <is>
          <t>Seuil CM maximal (% CM)</t>
        </is>
      </c>
      <c r="B38" s="11">
        <f>IF(B5=1,IF(B9=1,IF(B6=1,1.8,2),IF(B6=1,1.5,1.8)),IF(B6=1,0.3,0.5))</f>
        <v/>
      </c>
    </row>
    <row r="39">
      <c r="A39" s="3" t="inlineStr">
        <is>
          <t>Côté maximal d'un champ (m, 0 = sans limite)</t>
        </is>
      </c>
      <c r="B39" s="10">
        <f>IF(B5=1,IF(B6=1,6,8),IF(B6=1,8,0))</f>
        <v/>
      </c>
    </row>
    <row r="40">
      <c r="A40" s="3" t="inlineStr">
        <is>
          <t>Rapport maximal (0 = sans limite)</t>
        </is>
      </c>
      <c r="B40" s="11">
        <f>IF(B5=1,IF(B6=1,1.5,2),IF(B6=1,1.5,0))</f>
        <v/>
      </c>
    </row>
    <row r="41">
      <c r="A41" s="3" t="inlineStr">
        <is>
          <t>Surface maximale d'un champ carré (m²)</t>
        </is>
      </c>
      <c r="B41" s="10">
        <f>B39*B39</f>
        <v/>
      </c>
    </row>
    <row r="42">
      <c r="A42" s="3" t="inlineStr">
        <is>
          <t>Nombre minimal de champs</t>
        </is>
      </c>
      <c r="B42" s="10">
        <f>IF(MAX(B4,0)&gt;0,IF(B41&gt;0,ROUNDUP(ROUND(MAX(B4,0)/MAX(B41,0.000001),6),0),1),0)</f>
        <v/>
      </c>
    </row>
    <row r="43">
      <c r="A43" s="3" t="inlineStr">
        <is>
          <t>Champ admissible (1 oui)</t>
        </is>
      </c>
      <c r="B43" s="10">
        <f>IF(B39=0,1,IF(AND(ROUND(MAX(B13,B14),6)&lt;=B39,IF(MIN(B13,B14)&gt;0,ROUND(MAX(B13,B14)/MAX(MIN(B13,B14),0.000001),6)&lt;=B40,MAX(B13,B14)=0)),1,0))</f>
        <v/>
      </c>
    </row>
    <row r="44">
      <c r="A44" s="3" t="inlineStr">
        <is>
          <t>Température maximale admissible (1 oui ; anhydrite : 50 °C au plus)</t>
        </is>
      </c>
      <c r="B44" s="10">
        <f>IF(OR(B5=1,ROUND(B10,6)&lt;=50),1,0)</f>
        <v/>
      </c>
    </row>
    <row r="45">
      <c r="A45" s="3" t="inlineStr">
        <is>
          <t>Température maximale retenue (°C)</t>
        </is>
      </c>
      <c r="B45" s="11">
        <f>MAX(25,MIN(60,B10))</f>
        <v/>
      </c>
    </row>
    <row r="46">
      <c r="A46" s="3" t="inlineStr">
        <is>
          <t>Jour où la température maximale est atteinte (protocole progressif)</t>
        </is>
      </c>
      <c r="B46" s="10">
        <f>ROUNDUP(ROUND((B45-25)/5,6),0)+1</f>
        <v/>
      </c>
    </row>
    <row r="47">
      <c r="A47" s="3" t="inlineStr">
        <is>
          <t>Jours de maintien (protocole progressif)</t>
        </is>
      </c>
      <c r="B47" s="10">
        <f>MIN(14,MAX(1,ROUND(MAX(B12,0),0)))</f>
        <v/>
      </c>
    </row>
    <row r="48">
      <c r="A48" s="3" t="inlineStr">
        <is>
          <t>Jours de descente (protocole progressif)</t>
        </is>
      </c>
      <c r="B48" s="10">
        <f>ROUNDUP(ROUND((B45-25)/10,6),0)</f>
        <v/>
      </c>
    </row>
    <row r="49">
      <c r="A49" s="3" t="inlineStr">
        <is>
          <t>Durée du protocole progressif (jours)</t>
        </is>
      </c>
      <c r="B49" s="10">
        <f>B46+B47-1+B48</f>
        <v/>
      </c>
    </row>
    <row r="51">
      <c r="A51" s="3" t="inlineStr">
        <is>
          <t>Jour</t>
        </is>
      </c>
      <c r="B51" s="3" t="inlineStr">
        <is>
          <t>Protocole SIA 251 (°C)</t>
        </is>
      </c>
      <c r="C51" s="3" t="inlineStr">
        <is>
          <t>Protocole progressif (°C)</t>
        </is>
      </c>
    </row>
    <row r="52">
      <c r="A52" s="14" t="n">
        <v>1</v>
      </c>
      <c r="B52" s="11">
        <f>IF(A52&lt;=3,25,IF(A52&lt;=7,B45,0))</f>
        <v/>
      </c>
      <c r="C52" s="11">
        <f>IF(A52&lt;=B46,MIN(25+5*(A52-1),B45),IF(A52&lt;=B46+B47-1,B45,IF(A52&lt;=B46+B47-1+B48,MAX(25,B45-10*(A52-(B46+B47-1))),0)))</f>
        <v/>
      </c>
    </row>
    <row r="53">
      <c r="A53" s="14" t="n">
        <v>2</v>
      </c>
      <c r="B53" s="11">
        <f>IF(A53&lt;=3,25,IF(A53&lt;=7,B45,0))</f>
        <v/>
      </c>
      <c r="C53" s="11">
        <f>IF(A53&lt;=B46,MIN(25+5*(A53-1),B45),IF(A53&lt;=B46+B47-1,B45,IF(A53&lt;=B46+B47-1+B48,MAX(25,B45-10*(A53-(B46+B47-1))),0)))</f>
        <v/>
      </c>
    </row>
    <row r="54">
      <c r="A54" s="14" t="n">
        <v>3</v>
      </c>
      <c r="B54" s="11">
        <f>IF(A54&lt;=3,25,IF(A54&lt;=7,B45,0))</f>
        <v/>
      </c>
      <c r="C54" s="11">
        <f>IF(A54&lt;=B46,MIN(25+5*(A54-1),B45),IF(A54&lt;=B46+B47-1,B45,IF(A54&lt;=B46+B47-1+B48,MAX(25,B45-10*(A54-(B46+B47-1))),0)))</f>
        <v/>
      </c>
    </row>
    <row r="55">
      <c r="A55" s="14" t="n">
        <v>4</v>
      </c>
      <c r="B55" s="11">
        <f>IF(A55&lt;=3,25,IF(A55&lt;=7,B45,0))</f>
        <v/>
      </c>
      <c r="C55" s="11">
        <f>IF(A55&lt;=B46,MIN(25+5*(A55-1),B45),IF(A55&lt;=B46+B47-1,B45,IF(A55&lt;=B46+B47-1+B48,MAX(25,B45-10*(A55-(B46+B47-1))),0)))</f>
        <v/>
      </c>
    </row>
    <row r="56">
      <c r="A56" s="14" t="n">
        <v>5</v>
      </c>
      <c r="B56" s="11">
        <f>IF(A56&lt;=3,25,IF(A56&lt;=7,B45,0))</f>
        <v/>
      </c>
      <c r="C56" s="11">
        <f>IF(A56&lt;=B46,MIN(25+5*(A56-1),B45),IF(A56&lt;=B46+B47-1,B45,IF(A56&lt;=B46+B47-1+B48,MAX(25,B45-10*(A56-(B46+B47-1))),0)))</f>
        <v/>
      </c>
    </row>
    <row r="57">
      <c r="A57" s="14" t="n">
        <v>6</v>
      </c>
      <c r="B57" s="11">
        <f>IF(A57&lt;=3,25,IF(A57&lt;=7,B45,0))</f>
        <v/>
      </c>
      <c r="C57" s="11">
        <f>IF(A57&lt;=B46,MIN(25+5*(A57-1),B45),IF(A57&lt;=B46+B47-1,B45,IF(A57&lt;=B46+B47-1+B48,MAX(25,B45-10*(A57-(B46+B47-1))),0)))</f>
        <v/>
      </c>
    </row>
    <row r="58">
      <c r="A58" s="14" t="n">
        <v>7</v>
      </c>
      <c r="B58" s="11">
        <f>IF(A58&lt;=3,25,IF(A58&lt;=7,B45,0))</f>
        <v/>
      </c>
      <c r="C58" s="11">
        <f>IF(A58&lt;=B46,MIN(25+5*(A58-1),B45),IF(A58&lt;=B46+B47-1,B45,IF(A58&lt;=B46+B47-1+B48,MAX(25,B45-10*(A58-(B46+B47-1))),0)))</f>
        <v/>
      </c>
    </row>
    <row r="59">
      <c r="A59" s="14" t="n">
        <v>8</v>
      </c>
      <c r="B59" s="11">
        <f>IF(A59&lt;=3,25,IF(A59&lt;=7,B45,0))</f>
        <v/>
      </c>
      <c r="C59" s="11">
        <f>IF(A59&lt;=B46,MIN(25+5*(A59-1),B45),IF(A59&lt;=B46+B47-1,B45,IF(A59&lt;=B46+B47-1+B48,MAX(25,B45-10*(A59-(B46+B47-1))),0)))</f>
        <v/>
      </c>
    </row>
    <row r="60">
      <c r="A60" s="14" t="n">
        <v>9</v>
      </c>
      <c r="B60" s="11">
        <f>IF(A60&lt;=3,25,IF(A60&lt;=7,B45,0))</f>
        <v/>
      </c>
      <c r="C60" s="11">
        <f>IF(A60&lt;=B46,MIN(25+5*(A60-1),B45),IF(A60&lt;=B46+B47-1,B45,IF(A60&lt;=B46+B47-1+B48,MAX(25,B45-10*(A60-(B46+B47-1))),0)))</f>
        <v/>
      </c>
    </row>
    <row r="61">
      <c r="A61" s="14" t="n">
        <v>10</v>
      </c>
      <c r="B61" s="11">
        <f>IF(A61&lt;=3,25,IF(A61&lt;=7,B45,0))</f>
        <v/>
      </c>
      <c r="C61" s="11">
        <f>IF(A61&lt;=B46,MIN(25+5*(A61-1),B45),IF(A61&lt;=B46+B47-1,B45,IF(A61&lt;=B46+B47-1+B48,MAX(25,B45-10*(A61-(B46+B47-1))),0)))</f>
        <v/>
      </c>
    </row>
    <row r="62">
      <c r="A62" s="14" t="n">
        <v>11</v>
      </c>
      <c r="B62" s="11">
        <f>IF(A62&lt;=3,25,IF(A62&lt;=7,B45,0))</f>
        <v/>
      </c>
      <c r="C62" s="11">
        <f>IF(A62&lt;=B46,MIN(25+5*(A62-1),B45),IF(A62&lt;=B46+B47-1,B45,IF(A62&lt;=B46+B47-1+B48,MAX(25,B45-10*(A62-(B46+B47-1))),0)))</f>
        <v/>
      </c>
    </row>
    <row r="63">
      <c r="A63" s="14" t="n">
        <v>12</v>
      </c>
      <c r="B63" s="11">
        <f>IF(A63&lt;=3,25,IF(A63&lt;=7,B45,0))</f>
        <v/>
      </c>
      <c r="C63" s="11">
        <f>IF(A63&lt;=B46,MIN(25+5*(A63-1),B45),IF(A63&lt;=B46+B47-1,B45,IF(A63&lt;=B46+B47-1+B48,MAX(25,B45-10*(A63-(B46+B47-1))),0)))</f>
        <v/>
      </c>
    </row>
    <row r="64">
      <c r="A64" s="14" t="n">
        <v>13</v>
      </c>
      <c r="B64" s="11">
        <f>IF(A64&lt;=3,25,IF(A64&lt;=7,B45,0))</f>
        <v/>
      </c>
      <c r="C64" s="11">
        <f>IF(A64&lt;=B46,MIN(25+5*(A64-1),B45),IF(A64&lt;=B46+B47-1,B45,IF(A64&lt;=B46+B47-1+B48,MAX(25,B45-10*(A64-(B46+B47-1))),0)))</f>
        <v/>
      </c>
    </row>
    <row r="65">
      <c r="A65" s="14" t="n">
        <v>14</v>
      </c>
      <c r="B65" s="11">
        <f>IF(A65&lt;=3,25,IF(A65&lt;=7,B45,0))</f>
        <v/>
      </c>
      <c r="C65" s="11">
        <f>IF(A65&lt;=B46,MIN(25+5*(A65-1),B45),IF(A65&lt;=B46+B47-1,B45,IF(A65&lt;=B46+B47-1+B48,MAX(25,B45-10*(A65-(B46+B47-1))),0)))</f>
        <v/>
      </c>
    </row>
    <row r="66">
      <c r="A66" s="14" t="n">
        <v>15</v>
      </c>
      <c r="B66" s="11">
        <f>IF(A66&lt;=3,25,IF(A66&lt;=7,B45,0))</f>
        <v/>
      </c>
      <c r="C66" s="11">
        <f>IF(A66&lt;=B46,MIN(25+5*(A66-1),B45),IF(A66&lt;=B46+B47-1,B45,IF(A66&lt;=B46+B47-1+B48,MAX(25,B45-10*(A66-(B46+B47-1))),0)))</f>
        <v/>
      </c>
    </row>
    <row r="67">
      <c r="A67" s="14" t="n">
        <v>16</v>
      </c>
      <c r="B67" s="11">
        <f>IF(A67&lt;=3,25,IF(A67&lt;=7,B45,0))</f>
        <v/>
      </c>
      <c r="C67" s="11">
        <f>IF(A67&lt;=B46,MIN(25+5*(A67-1),B45),IF(A67&lt;=B46+B47-1,B45,IF(A67&lt;=B46+B47-1+B48,MAX(25,B45-10*(A67-(B46+B47-1))),0)))</f>
        <v/>
      </c>
    </row>
    <row r="68">
      <c r="A68" s="14" t="n">
        <v>17</v>
      </c>
      <c r="B68" s="11">
        <f>IF(A68&lt;=3,25,IF(A68&lt;=7,B45,0))</f>
        <v/>
      </c>
      <c r="C68" s="11">
        <f>IF(A68&lt;=B46,MIN(25+5*(A68-1),B45),IF(A68&lt;=B46+B47-1,B45,IF(A68&lt;=B46+B47-1+B48,MAX(25,B45-10*(A68-(B46+B47-1))),0)))</f>
        <v/>
      </c>
    </row>
    <row r="69">
      <c r="A69" s="14" t="n">
        <v>18</v>
      </c>
      <c r="B69" s="11">
        <f>IF(A69&lt;=3,25,IF(A69&lt;=7,B45,0))</f>
        <v/>
      </c>
      <c r="C69" s="11">
        <f>IF(A69&lt;=B46,MIN(25+5*(A69-1),B45),IF(A69&lt;=B46+B47-1,B45,IF(A69&lt;=B46+B47-1+B48,MAX(25,B45-10*(A69-(B46+B47-1))),0)))</f>
        <v/>
      </c>
    </row>
    <row r="70">
      <c r="A70" s="14" t="n">
        <v>19</v>
      </c>
      <c r="B70" s="11">
        <f>IF(A70&lt;=3,25,IF(A70&lt;=7,B45,0))</f>
        <v/>
      </c>
      <c r="C70" s="11">
        <f>IF(A70&lt;=B46,MIN(25+5*(A70-1),B45),IF(A70&lt;=B46+B47-1,B45,IF(A70&lt;=B46+B47-1+B48,MAX(25,B45-10*(A70-(B46+B47-1))),0)))</f>
        <v/>
      </c>
    </row>
    <row r="71">
      <c r="A71" s="14" t="n">
        <v>20</v>
      </c>
      <c r="B71" s="11">
        <f>IF(A71&lt;=3,25,IF(A71&lt;=7,B45,0))</f>
        <v/>
      </c>
      <c r="C71" s="11">
        <f>IF(A71&lt;=B46,MIN(25+5*(A71-1),B45),IF(A71&lt;=B46+B47-1,B45,IF(A71&lt;=B46+B47-1+B48,MAX(25,B45-10*(A71-(B46+B47-1))),0)))</f>
        <v/>
      </c>
    </row>
    <row r="72">
      <c r="A72" s="14" t="n">
        <v>21</v>
      </c>
      <c r="B72" s="11">
        <f>IF(A72&lt;=3,25,IF(A72&lt;=7,B45,0))</f>
        <v/>
      </c>
      <c r="C72" s="11">
        <f>IF(A72&lt;=B46,MIN(25+5*(A72-1),B45),IF(A72&lt;=B46+B47-1,B45,IF(A72&lt;=B46+B47-1+B48,MAX(25,B45-10*(A72-(B46+B47-1))),0)))</f>
        <v/>
      </c>
    </row>
    <row r="73">
      <c r="A73" s="14" t="n">
        <v>22</v>
      </c>
      <c r="B73" s="11">
        <f>IF(A73&lt;=3,25,IF(A73&lt;=7,B45,0))</f>
        <v/>
      </c>
      <c r="C73" s="11">
        <f>IF(A73&lt;=B46,MIN(25+5*(A73-1),B45),IF(A73&lt;=B46+B47-1,B45,IF(A73&lt;=B46+B47-1+B48,MAX(25,B45-10*(A73-(B46+B47-1))),0)))</f>
        <v/>
      </c>
    </row>
    <row r="74">
      <c r="A74" s="14" t="n">
        <v>23</v>
      </c>
      <c r="B74" s="11">
        <f>IF(A74&lt;=3,25,IF(A74&lt;=7,B45,0))</f>
        <v/>
      </c>
      <c r="C74" s="11">
        <f>IF(A74&lt;=B46,MIN(25+5*(A74-1),B45),IF(A74&lt;=B46+B47-1,B45,IF(A74&lt;=B46+B47-1+B48,MAX(25,B45-10*(A74-(B46+B47-1))),0)))</f>
        <v/>
      </c>
    </row>
    <row r="75">
      <c r="A75" s="14" t="n">
        <v>24</v>
      </c>
      <c r="B75" s="11">
        <f>IF(A75&lt;=3,25,IF(A75&lt;=7,B45,0))</f>
        <v/>
      </c>
      <c r="C75" s="11">
        <f>IF(A75&lt;=B46,MIN(25+5*(A75-1),B45),IF(A75&lt;=B46+B47-1,B45,IF(A75&lt;=B46+B47-1+B48,MAX(25,B45-10*(A75-(B46+B47-1))),0)))</f>
        <v/>
      </c>
    </row>
    <row r="76">
      <c r="A76" s="14" t="n">
        <v>25</v>
      </c>
      <c r="B76" s="11">
        <f>IF(A76&lt;=3,25,IF(A76&lt;=7,B45,0))</f>
        <v/>
      </c>
      <c r="C76" s="11">
        <f>IF(A76&lt;=B46,MIN(25+5*(A76-1),B45),IF(A76&lt;=B46+B47-1,B45,IF(A76&lt;=B46+B47-1+B48,MAX(25,B45-10*(A76-(B46+B47-1))),0)))</f>
        <v/>
      </c>
    </row>
    <row r="77">
      <c r="A77" s="14" t="n">
        <v>26</v>
      </c>
      <c r="B77" s="11">
        <f>IF(A77&lt;=3,25,IF(A77&lt;=7,B45,0))</f>
        <v/>
      </c>
      <c r="C77" s="11">
        <f>IF(A77&lt;=B46,MIN(25+5*(A77-1),B45),IF(A77&lt;=B46+B47-1,B45,IF(A77&lt;=B46+B47-1+B48,MAX(25,B45-10*(A77-(B46+B47-1))),0)))</f>
        <v/>
      </c>
    </row>
    <row r="78">
      <c r="A78" s="14" t="n">
        <v>27</v>
      </c>
      <c r="B78" s="11">
        <f>IF(A78&lt;=3,25,IF(A78&lt;=7,B45,0))</f>
        <v/>
      </c>
      <c r="C78" s="11">
        <f>IF(A78&lt;=B46,MIN(25+5*(A78-1),B45),IF(A78&lt;=B46+B47-1,B45,IF(A78&lt;=B46+B47-1+B48,MAX(25,B45-10*(A78-(B46+B47-1))),0)))</f>
        <v/>
      </c>
    </row>
    <row r="79">
      <c r="A79" s="14" t="n">
        <v>28</v>
      </c>
      <c r="B79" s="11">
        <f>IF(A79&lt;=3,25,IF(A79&lt;=7,B45,0))</f>
        <v/>
      </c>
      <c r="C79" s="11">
        <f>IF(A79&lt;=B46,MIN(25+5*(A79-1),B45),IF(A79&lt;=B46+B47-1,B45,IF(A79&lt;=B46+B47-1+B48,MAX(25,B45-10*(A79-(B46+B47-1))),0)))</f>
        <v/>
      </c>
    </row>
    <row r="80">
      <c r="A80" s="14" t="n">
        <v>29</v>
      </c>
      <c r="B80" s="11">
        <f>IF(A80&lt;=3,25,IF(A80&lt;=7,B45,0))</f>
        <v/>
      </c>
      <c r="C80" s="11">
        <f>IF(A80&lt;=B46,MIN(25+5*(A80-1),B45),IF(A80&lt;=B46+B47-1,B45,IF(A80&lt;=B46+B47-1+B48,MAX(25,B45-10*(A80-(B46+B47-1))),0)))</f>
        <v/>
      </c>
    </row>
    <row r="81">
      <c r="A81" s="14" t="n">
        <v>30</v>
      </c>
      <c r="B81" s="11">
        <f>IF(A81&lt;=3,25,IF(A81&lt;=7,B45,0))</f>
        <v/>
      </c>
      <c r="C81" s="11">
        <f>IF(A81&lt;=B46,MIN(25+5*(A81-1),B45),IF(A81&lt;=B46+B47-1,B45,IF(A81&lt;=B46+B47-1+B48,MAX(25,B45-10*(A81-(B46+B47-1))),0)))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5"/>
  <sheetViews>
    <sheetView showGridLines="0" workbookViewId="0">
      <selection activeCell="A1" sqref="A1"/>
    </sheetView>
  </sheetViews>
  <sheetFormatPr baseColWidth="8" defaultRowHeight="15"/>
  <cols>
    <col width="92" customWidth="1" min="1" max="1"/>
    <col width="18" customWidth="1" min="2" max="2"/>
  </cols>
  <sheetData>
    <row r="1">
      <c r="A1" s="5" t="inlineStr">
        <is>
          <t>6.22 · Plâtrerie sèche : plaques, profilés, laine, vis, enduit et qualités Q1 à Q4 (SIA 242)</t>
        </is>
      </c>
    </row>
    <row r="2">
      <c r="A2" s="6" t="inlineStr">
        <is>
          <t>Cellules jaunes = à saisir. Ratios du cahier des charges, non vérifiés (SIA 242 non consultée). Hypothèses de l'outil : bande à joints 1,3 ml/m² de plaque, 15 vis par m² de plaque, montants CW × 62,5 / entraxe, seuil de non-déduction de 0,50 m².</t>
        </is>
      </c>
    </row>
    <row r="4">
      <c r="A4" s="3" t="inlineStr">
        <is>
          <t>Faces (2 cloison de distribution, 1 doublage ou faux-plafond)</t>
        </is>
      </c>
      <c r="B4" s="8" t="n">
        <v>2</v>
      </c>
    </row>
    <row r="5">
      <c r="A5" s="3" t="inlineStr">
        <is>
          <t>Plaques par face (1 simple peau, 2 double peau)</t>
        </is>
      </c>
      <c r="B5" s="8" t="n">
        <v>1</v>
      </c>
    </row>
    <row r="6">
      <c r="A6" s="3" t="inlineStr">
        <is>
          <t>Longueur (m)</t>
        </is>
      </c>
      <c r="B6" s="7" t="n">
        <v>12</v>
      </c>
    </row>
    <row r="7">
      <c r="A7" s="3" t="inlineStr">
        <is>
          <t>Hauteur ou largeur du plafond (m)</t>
        </is>
      </c>
      <c r="B7" s="9" t="n">
        <v>2.6</v>
      </c>
    </row>
    <row r="8">
      <c r="A8" s="3" t="inlineStr">
        <is>
          <t>Ouvertures de 0,90 × 2,10 m</t>
        </is>
      </c>
      <c r="B8" s="8" t="n">
        <v>2</v>
      </c>
    </row>
    <row r="9">
      <c r="A9" s="3" t="inlineStr">
        <is>
          <t>Surface d'une ouverture (m²)</t>
        </is>
      </c>
      <c r="B9" s="9" t="n">
        <v>1.89</v>
      </c>
    </row>
    <row r="10">
      <c r="A10" s="3" t="inlineStr">
        <is>
          <t>Seuil de non-déduction des vides (m²)</t>
        </is>
      </c>
      <c r="B10" s="9" t="n">
        <v>0.5</v>
      </c>
    </row>
    <row r="11">
      <c r="A11" s="3" t="inlineStr">
        <is>
          <t>Entraxe des montants CW (cm)</t>
        </is>
      </c>
      <c r="B11" s="7" t="n">
        <v>62.5</v>
      </c>
    </row>
    <row r="12">
      <c r="A12" s="3" t="inlineStr">
        <is>
          <t>Enduit selon la qualité (Q1 0,3 ; Q2 0,5 ; Q3 1,1 ; Q4 2,2 kg/m²)</t>
        </is>
      </c>
      <c r="B12" s="7" t="n">
        <v>0.5</v>
      </c>
    </row>
    <row r="13">
      <c r="A13" s="3" t="inlineStr">
        <is>
          <t>Chutes</t>
        </is>
      </c>
      <c r="B13" s="9" t="n">
        <v>0.07000000000000001</v>
      </c>
    </row>
    <row r="14">
      <c r="A14" s="3" t="inlineStr">
        <is>
          <t>Surface d'une plaque (m²)</t>
        </is>
      </c>
      <c r="B14" s="9" t="n">
        <v>2.5</v>
      </c>
    </row>
    <row r="15">
      <c r="A15" s="3" t="inlineStr">
        <is>
          <t>Rails UW (ml/m²)</t>
        </is>
      </c>
      <c r="B15" s="9" t="n">
        <v>0.8</v>
      </c>
    </row>
    <row r="16">
      <c r="A16" s="3" t="inlineStr">
        <is>
          <t>Montants CW à 62,5 cm (ml/m²)</t>
        </is>
      </c>
      <c r="B16" s="7" t="n">
        <v>2</v>
      </c>
    </row>
    <row r="17">
      <c r="A17" s="3" t="inlineStr">
        <is>
          <t>Entraxe de référence (cm)</t>
        </is>
      </c>
      <c r="B17" s="7" t="n">
        <v>62.5</v>
      </c>
    </row>
    <row r="18">
      <c r="A18" s="3" t="inlineStr">
        <is>
          <t>Bande à joints (ml par m² de plaque, hypothèse)</t>
        </is>
      </c>
      <c r="B18" s="7" t="n">
        <v>1.3</v>
      </c>
    </row>
    <row r="19">
      <c r="A19" s="3" t="inlineStr">
        <is>
          <t>Vis par m² de plaque (hypothèse)</t>
        </is>
      </c>
      <c r="B19" s="8" t="n">
        <v>15</v>
      </c>
    </row>
    <row r="20">
      <c r="A20" s="3" t="inlineStr">
        <is>
          <t>Vis par boîte</t>
        </is>
      </c>
      <c r="B20" s="8" t="n">
        <v>1000</v>
      </c>
    </row>
    <row r="21">
      <c r="A21" s="3" t="inlineStr">
        <is>
          <t>Largeur des profilés (mm)</t>
        </is>
      </c>
      <c r="B21" s="8" t="n">
        <v>75</v>
      </c>
    </row>
    <row r="22">
      <c r="A22" s="3" t="inlineStr">
        <is>
          <t>Cloison de distribution (1 oui, 0 non)</t>
        </is>
      </c>
      <c r="B22" s="8" t="n">
        <v>1</v>
      </c>
    </row>
    <row r="23">
      <c r="A23" s="3" t="inlineStr">
        <is>
          <t>Épaisseur d'une plaque (mm)</t>
        </is>
      </c>
      <c r="B23" s="7" t="n">
        <v>12.5</v>
      </c>
    </row>
    <row r="25">
      <c r="A25" s="3" t="inlineStr">
        <is>
          <t>Surface brute, non arrondie (m²)</t>
        </is>
      </c>
      <c r="B25" s="12">
        <f>MAX(B6,0)*MAX(B7,0)</f>
        <v/>
      </c>
    </row>
    <row r="26">
      <c r="A26" s="3" t="inlineStr">
        <is>
          <t>Surface déduite, non arrondie (m²)</t>
        </is>
      </c>
      <c r="B26" s="12">
        <f>IF(ROUND(B9,6)&gt;=ROUND(B10,6),ROUND(MAX(B8,0),0)*B9,0)</f>
        <v/>
      </c>
    </row>
    <row r="27">
      <c r="A27" s="3" t="inlineStr">
        <is>
          <t>Surface nette, non arrondie (m²)</t>
        </is>
      </c>
      <c r="B27" s="12">
        <f>MAX(0,B25-B26)</f>
        <v/>
      </c>
    </row>
    <row r="28">
      <c r="A28" s="3" t="inlineStr">
        <is>
          <t>Plaques, non arrondi (m²)</t>
        </is>
      </c>
      <c r="B28" s="12">
        <f>B27*B4*B5*(1+B13)</f>
        <v/>
      </c>
    </row>
    <row r="29">
      <c r="A29" s="3" t="inlineStr">
        <is>
          <t>Surface de plaques (m²)</t>
        </is>
      </c>
      <c r="B29" s="13">
        <f>ROUND(B28,2)</f>
        <v/>
      </c>
    </row>
    <row r="30">
      <c r="A30" s="3" t="inlineStr">
        <is>
          <t>Nombre de plaques</t>
        </is>
      </c>
      <c r="B30" s="10">
        <f>ROUNDUP(ROUND(B28/B14,6),0)</f>
        <v/>
      </c>
    </row>
    <row r="31">
      <c r="A31" s="3" t="inlineStr">
        <is>
          <t>Rails UW, non arrondi (ml)</t>
        </is>
      </c>
      <c r="B31" s="12">
        <f>B27*B15*(1+B13)</f>
        <v/>
      </c>
    </row>
    <row r="32">
      <c r="A32" s="3" t="inlineStr">
        <is>
          <t>Rails UW (ml)</t>
        </is>
      </c>
      <c r="B32" s="11">
        <f>ROUND(B31,1)</f>
        <v/>
      </c>
    </row>
    <row r="33">
      <c r="A33" s="3" t="inlineStr">
        <is>
          <t>Montants CW, non arrondi (ml)</t>
        </is>
      </c>
      <c r="B33" s="12">
        <f>B27*B16*(B17/B11)*(1+B13)</f>
        <v/>
      </c>
    </row>
    <row r="34">
      <c r="A34" s="3" t="inlineStr">
        <is>
          <t>Montants CW (ml)</t>
        </is>
      </c>
      <c r="B34" s="11">
        <f>ROUND(B33,1)</f>
        <v/>
      </c>
    </row>
    <row r="35">
      <c r="A35" s="3" t="inlineStr">
        <is>
          <t>Laine minérale (m²)</t>
        </is>
      </c>
      <c r="B35" s="13">
        <f>ROUND(B27*(1+B13),2)</f>
        <v/>
      </c>
    </row>
    <row r="36">
      <c r="A36" s="3" t="inlineStr">
        <is>
          <t>Bande à joints (ml)</t>
        </is>
      </c>
      <c r="B36" s="11">
        <f>ROUND(B27*B4*B18*(1+B13),1)</f>
        <v/>
      </c>
    </row>
    <row r="37">
      <c r="A37" s="3" t="inlineStr">
        <is>
          <t>Bande résiliente sous rails UW (ml)</t>
        </is>
      </c>
      <c r="B37" s="11">
        <f>ROUND(B31,1)</f>
        <v/>
      </c>
    </row>
    <row r="38">
      <c r="A38" s="3" t="inlineStr">
        <is>
          <t>Vis, non arrondi</t>
        </is>
      </c>
      <c r="B38" s="13">
        <f>B28*B19</f>
        <v/>
      </c>
    </row>
    <row r="39">
      <c r="A39" s="3" t="inlineStr">
        <is>
          <t>Vis phosphatées</t>
        </is>
      </c>
      <c r="B39" s="10">
        <f>ROUND(B38,0)</f>
        <v/>
      </c>
    </row>
    <row r="40">
      <c r="A40" s="3" t="inlineStr">
        <is>
          <t>Boîtes de vis</t>
        </is>
      </c>
      <c r="B40" s="10">
        <f>ROUNDUP(ROUND(B38/B20,6),0)</f>
        <v/>
      </c>
    </row>
    <row r="41">
      <c r="A41" s="3" t="inlineStr">
        <is>
          <t>Enduit à joints et ratissage (kg)</t>
        </is>
      </c>
      <c r="B41" s="11">
        <f>ROUND(B27*B4*B12,1)</f>
        <v/>
      </c>
    </row>
    <row r="42">
      <c r="A42" s="3" t="inlineStr">
        <is>
          <t>Épaisseur finie de la paroi (mm)</t>
        </is>
      </c>
      <c r="B42" s="11">
        <f>ROUND(B21+IF(B22=1,2,1)*B5*B23,1)</f>
        <v/>
      </c>
    </row>
    <row r="43">
      <c r="A43" s="3" t="inlineStr">
        <is>
          <t>Surface brute (m²)</t>
        </is>
      </c>
      <c r="B43" s="13">
        <f>ROUND(B25,2)</f>
        <v/>
      </c>
    </row>
    <row r="44">
      <c r="A44" s="3" t="inlineStr">
        <is>
          <t>Surface déduite (m²)</t>
        </is>
      </c>
      <c r="B44" s="13">
        <f>ROUND(B26,2)</f>
        <v/>
      </c>
    </row>
    <row r="45">
      <c r="A45" s="3" t="inlineStr">
        <is>
          <t>Surface nette (m²)</t>
        </is>
      </c>
      <c r="B45" s="13">
        <f>ROUND(B27,2)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2"/>
  <sheetViews>
    <sheetView showGridLines="0" workbookViewId="0">
      <selection activeCell="A1" sqref="A1"/>
    </sheetView>
  </sheetViews>
  <sheetFormatPr baseColWidth="8" defaultRowHeight="15"/>
  <cols>
    <col width="92" customWidth="1" min="1" max="1"/>
    <col width="18" customWidth="1" min="2" max="2"/>
  </cols>
  <sheetData>
    <row r="1">
      <c r="A1" s="5" t="inlineStr">
        <is>
          <t>6.23 · Carrelage : colle, joint, double encollage, humidité du support et étanchéité liquide (SIA 248, SIA 271/1)</t>
        </is>
      </c>
    </row>
    <row r="2">
      <c r="A2" s="6" t="inlineStr">
        <is>
          <t>Cellules jaunes = à saisir. Seuils CM et consommations de colle : cahier des charges (SIA 248 non consultée). Formule du joint : exacte (L + l) / (L × l) × e × j × 1,60. Choix automatique du peigne et étanchéité liquide (2 mm secs × 1,5 kg/m² par mm) : hypothèses de l'outil.</t>
        </is>
      </c>
    </row>
    <row r="4">
      <c r="A4" s="3" t="inlineStr">
        <is>
          <t>Surface à carreler (m²)</t>
        </is>
      </c>
      <c r="B4" s="7" t="n">
        <v>65</v>
      </c>
    </row>
    <row r="5">
      <c r="A5" s="3" t="inlineStr">
        <is>
          <t>Carreau : longueur (cm)</t>
        </is>
      </c>
      <c r="B5" s="7" t="n">
        <v>60</v>
      </c>
    </row>
    <row r="6">
      <c r="A6" s="3" t="inlineStr">
        <is>
          <t>Carreau : largeur (cm)</t>
        </is>
      </c>
      <c r="B6" s="7" t="n">
        <v>60</v>
      </c>
    </row>
    <row r="7">
      <c r="A7" s="3" t="inlineStr">
        <is>
          <t>Carreau : épaisseur (mm)</t>
        </is>
      </c>
      <c r="B7" s="7" t="n">
        <v>9.5</v>
      </c>
    </row>
    <row r="8">
      <c r="A8" s="3" t="inlineStr">
        <is>
          <t>Joint (mm)</t>
        </is>
      </c>
      <c r="B8" s="7" t="n">
        <v>3</v>
      </c>
    </row>
    <row r="9">
      <c r="A9" s="3" t="inlineStr">
        <is>
          <t>Chutes (0,07 pose droite ; 0,12 pose diagonale)</t>
        </is>
      </c>
      <c r="B9" s="9" t="n">
        <v>0.07000000000000001</v>
      </c>
    </row>
    <row r="10">
      <c r="A10" s="3" t="inlineStr">
        <is>
          <t>Local (1 séjour ou cuisine sec, 2 douche ou salle de bain, 3 terrasse ou balcon)</t>
        </is>
      </c>
      <c r="B10" s="8" t="n">
        <v>1</v>
      </c>
    </row>
    <row r="11">
      <c r="A11" s="3" t="inlineStr">
        <is>
          <t>Chape (1 ciment CT, 2 anhydrite CAF)</t>
        </is>
      </c>
      <c r="B11" s="8" t="n">
        <v>1</v>
      </c>
    </row>
    <row r="12">
      <c r="A12" s="3" t="inlineStr">
        <is>
          <t>Chauffage au sol (1 oui, 0 non)</t>
        </is>
      </c>
      <c r="B12" s="8" t="n">
        <v>0</v>
      </c>
    </row>
    <row r="13">
      <c r="A13" s="3" t="inlineStr">
        <is>
          <t>Humidité mesurée (% CM)</t>
        </is>
      </c>
      <c r="B13" s="9" t="n">
        <v>0.4</v>
      </c>
    </row>
    <row r="14">
      <c r="A14" s="3" t="inlineStr">
        <is>
          <t>Peigne (0 automatique, 6, 8, 10 ou 12 mm)</t>
        </is>
      </c>
      <c r="B14" s="8" t="n">
        <v>0</v>
      </c>
    </row>
    <row r="15">
      <c r="A15" s="3" t="inlineStr">
        <is>
          <t>Longueur des angles à étancher (ml)</t>
        </is>
      </c>
      <c r="B15" s="7" t="n">
        <v>12</v>
      </c>
    </row>
    <row r="16">
      <c r="A16" s="3" t="inlineStr">
        <is>
          <t>Seuil du double encollage (cm²)</t>
        </is>
      </c>
      <c r="B16" s="8" t="n">
        <v>900</v>
      </c>
    </row>
    <row r="17">
      <c r="A17" s="3" t="inlineStr">
        <is>
          <t>Plus grand côté d'un petit format (cm)</t>
        </is>
      </c>
      <c r="B17" s="8" t="n">
        <v>15</v>
      </c>
    </row>
    <row r="18">
      <c r="A18" s="3" t="inlineStr">
        <is>
          <t>Masse volumique du joint (kg/l)</t>
        </is>
      </c>
      <c r="B18" s="9" t="n">
        <v>1.6</v>
      </c>
    </row>
    <row r="19">
      <c r="A19" s="3" t="inlineStr">
        <is>
          <t>Épaisseur sèche de l'étanchéité liquide (mm)</t>
        </is>
      </c>
      <c r="B19" s="7" t="n">
        <v>2</v>
      </c>
    </row>
    <row r="20">
      <c r="A20" s="3" t="inlineStr">
        <is>
          <t>Consommation par mm (kg/m²)</t>
        </is>
      </c>
      <c r="B20" s="7" t="n">
        <v>1.5</v>
      </c>
    </row>
    <row r="22">
      <c r="A22" s="3" t="inlineStr">
        <is>
          <t>Aire d'un carreau (cm²)</t>
        </is>
      </c>
      <c r="B22" s="11">
        <f>MAX(B5,0)*MAX(B6,0)</f>
        <v/>
      </c>
    </row>
    <row r="23">
      <c r="A23" s="3" t="inlineStr">
        <is>
          <t>Double encollage prescrit (1 oui)</t>
        </is>
      </c>
      <c r="B23" s="10">
        <f>IF(OR(ROUND(B22,6)&gt;B16,B12=1,B10=3),1,0)</f>
        <v/>
      </c>
    </row>
    <row r="24">
      <c r="A24" s="3" t="inlineStr">
        <is>
          <t>Peigne recommandé (mm)</t>
        </is>
      </c>
      <c r="B24" s="10">
        <f>IF(B23=1,12,IF(MAX(MAX(B5,0),MAX(B6,0))&lt;=B17,6,8))</f>
        <v/>
      </c>
    </row>
    <row r="25">
      <c r="A25" s="3" t="inlineStr">
        <is>
          <t>Peigne retenu (mm)</t>
        </is>
      </c>
      <c r="B25" s="10">
        <f>IF(B14=0,B24,B14)</f>
        <v/>
      </c>
    </row>
    <row r="26">
      <c r="A26" s="3" t="inlineStr">
        <is>
          <t>Consommation de colle, bas (kg/m²)</t>
        </is>
      </c>
      <c r="B26" s="11">
        <f>IF(B25=6,2.5,IF(B25=8,3.2,IF(B25=10,4,5.5)))</f>
        <v/>
      </c>
    </row>
    <row r="27">
      <c r="A27" s="3" t="inlineStr">
        <is>
          <t>Consommation de colle, haut (kg/m²)</t>
        </is>
      </c>
      <c r="B27" s="11">
        <f>IF(B25=12,6.5,B26)</f>
        <v/>
      </c>
    </row>
    <row r="28">
      <c r="A28" s="3" t="inlineStr">
        <is>
          <t>Colle, bas (kg)</t>
        </is>
      </c>
      <c r="B28" s="11">
        <f>ROUND(MAX(B4,0)*B26,1)</f>
        <v/>
      </c>
    </row>
    <row r="29">
      <c r="A29" s="3" t="inlineStr">
        <is>
          <t>Colle, haut (kg)</t>
        </is>
      </c>
      <c r="B29" s="11">
        <f>ROUND(MAX(B4,0)*B27,1)</f>
        <v/>
      </c>
    </row>
    <row r="30">
      <c r="A30" s="3" t="inlineStr">
        <is>
          <t>Sacs de 25 kg, bas</t>
        </is>
      </c>
      <c r="B30" s="10">
        <f>ROUNDUP(ROUND(MAX(B4,0)*B26/25,6),0)</f>
        <v/>
      </c>
    </row>
    <row r="31">
      <c r="A31" s="3" t="inlineStr">
        <is>
          <t>Sacs de 25 kg, haut</t>
        </is>
      </c>
      <c r="B31" s="10">
        <f>ROUNDUP(ROUND(MAX(B4,0)*B27/25,6),0)</f>
        <v/>
      </c>
    </row>
    <row r="32">
      <c r="A32" s="3" t="inlineStr">
        <is>
          <t>Peigne conforme (1 oui)</t>
        </is>
      </c>
      <c r="B32" s="10">
        <f>IF(OR(B23=0,B25=12),1,0)</f>
        <v/>
      </c>
    </row>
    <row r="33">
      <c r="A33" s="3" t="inlineStr">
        <is>
          <t>Consommation de joint, non arrondie (kg/m²)</t>
        </is>
      </c>
      <c r="B33" s="12">
        <f>IF(AND(MAX(B5,0)&gt;0,MAX(B6,0)&gt;0),((MAX(B5,0)*10+MAX(B6,0)*10)/(MAX(MAX(B5,0)*10*MAX(B6,0)*10,0.000001)))*MAX(B7,0)*MAX(B8,0)*B18,0)</f>
        <v/>
      </c>
    </row>
    <row r="34">
      <c r="A34" s="3" t="inlineStr">
        <is>
          <t>Consommation de joint (kg/m²)</t>
        </is>
      </c>
      <c r="B34" s="15">
        <f>ROUND(B33,3)</f>
        <v/>
      </c>
    </row>
    <row r="35">
      <c r="A35" s="3" t="inlineStr">
        <is>
          <t>Mortier de jointoiement (kg)</t>
        </is>
      </c>
      <c r="B35" s="11">
        <f>ROUND(MAX(B4,0)*B33,1)</f>
        <v/>
      </c>
    </row>
    <row r="36">
      <c r="A36" s="3" t="inlineStr">
        <is>
          <t>Surface à commander, non arrondie (m²)</t>
        </is>
      </c>
      <c r="B36" s="12">
        <f>MAX(B4,0)*(1+B9)</f>
        <v/>
      </c>
    </row>
    <row r="37">
      <c r="A37" s="3" t="inlineStr">
        <is>
          <t>Surface à commander (m²)</t>
        </is>
      </c>
      <c r="B37" s="13">
        <f>ROUND(B36,2)</f>
        <v/>
      </c>
    </row>
    <row r="38">
      <c r="A38" s="3" t="inlineStr">
        <is>
          <t>Carreaux</t>
        </is>
      </c>
      <c r="B38" s="10">
        <f>IF(B22&gt;0,ROUNDUP(ROUND(B36/MAX(B22/10000,0.000001),6),0),0)</f>
        <v/>
      </c>
    </row>
    <row r="39">
      <c r="A39" s="3" t="inlineStr">
        <is>
          <t>Humidité CM maximale (% CM)</t>
        </is>
      </c>
      <c r="B39" s="11">
        <f>IF(B11=1,IF(B12=1,1.8,2),IF(B12=1,0.3,0.5))</f>
        <v/>
      </c>
    </row>
    <row r="40">
      <c r="A40" s="3" t="inlineStr">
        <is>
          <t>Support apte (1 oui)</t>
        </is>
      </c>
      <c r="B40" s="10">
        <f>IF(ROUND(B13,6)&lt;=B39,1,0)</f>
        <v/>
      </c>
    </row>
    <row r="41">
      <c r="A41" s="3" t="inlineStr">
        <is>
          <t>Étanchéité liquide (kg, douche ou salle de bain)</t>
        </is>
      </c>
      <c r="B41" s="11">
        <f>IF(B10=2,ROUND(MAX(B4,0)*B19*B20,1),0)</f>
        <v/>
      </c>
    </row>
    <row r="42">
      <c r="A42" s="3" t="inlineStr">
        <is>
          <t>Bande d'angle (ml)</t>
        </is>
      </c>
      <c r="B42" s="11">
        <f>IF(B10=2,ROUND(MAX(B15,0),1),0)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92" customWidth="1" min="1" max="1"/>
    <col width="18" customWidth="1" min="2" max="2"/>
  </cols>
  <sheetData>
    <row r="1">
      <c r="A1" s="5" t="inlineStr">
        <is>
          <t>6.24 · Parquet : résistance thermique Rλ, humidité CM et quantités (SIA 253)</t>
        </is>
      </c>
    </row>
    <row r="2">
      <c r="A2" s="6" t="inlineStr">
        <is>
          <t>Cellules jaunes = à saisir. R des parquets et sous-couches, colle, coupes, plinthes : cahier des charges ; Rλ ≤ 0,15 m²K/W sous-couche comprise : confirmé par des fabricants. Seuils CM du cahier, non vérifiés en Suisse. Primaire 0,15 kg/m² : hypothèse.</t>
        </is>
      </c>
    </row>
    <row r="4">
      <c r="A4" s="3" t="inlineStr">
        <is>
          <t>Surface (m²)</t>
        </is>
      </c>
      <c r="B4" s="7" t="n">
        <v>75</v>
      </c>
    </row>
    <row r="5">
      <c r="A5" s="3" t="inlineStr">
        <is>
          <t>Périmètre des plinthes (ml)</t>
        </is>
      </c>
      <c r="B5" s="7" t="n">
        <v>68</v>
      </c>
    </row>
    <row r="6">
      <c r="A6" s="3" t="inlineStr">
        <is>
          <t>Pose (1 collée en plein, 2 flottante)</t>
        </is>
      </c>
      <c r="B6" s="8" t="n">
        <v>1</v>
      </c>
    </row>
    <row r="7">
      <c r="A7" s="3" t="inlineStr">
        <is>
          <t>R du parquet (m²K/W)</t>
        </is>
      </c>
      <c r="B7" s="16" t="n">
        <v>0.075</v>
      </c>
    </row>
    <row r="8">
      <c r="A8" s="3" t="inlineStr">
        <is>
          <t>R de la sous-couche (m²K/W)</t>
        </is>
      </c>
      <c r="B8" s="16" t="n">
        <v>0</v>
      </c>
    </row>
    <row r="9">
      <c r="A9" s="3" t="inlineStr">
        <is>
          <t>Chape (1 ciment CT, 2 anhydrite CAF)</t>
        </is>
      </c>
      <c r="B9" s="8" t="n">
        <v>1</v>
      </c>
    </row>
    <row r="10">
      <c r="A10" s="3" t="inlineStr">
        <is>
          <t>Chauffage au sol (1 oui, 0 non)</t>
        </is>
      </c>
      <c r="B10" s="8" t="n">
        <v>1</v>
      </c>
    </row>
    <row r="11">
      <c r="A11" s="3" t="inlineStr">
        <is>
          <t>Humidité mesurée (% CM)</t>
        </is>
      </c>
      <c r="B11" s="9" t="n">
        <v>1.4</v>
      </c>
    </row>
    <row r="12">
      <c r="A12" s="3" t="inlineStr">
        <is>
          <t>R maximal (m²K/W)</t>
        </is>
      </c>
      <c r="B12" s="9" t="n">
        <v>0.15</v>
      </c>
    </row>
    <row r="13">
      <c r="A13" s="3" t="inlineStr">
        <is>
          <t>Coupes</t>
        </is>
      </c>
      <c r="B13" s="9" t="n">
        <v>0.07000000000000001</v>
      </c>
    </row>
    <row r="14">
      <c r="A14" s="3" t="inlineStr">
        <is>
          <t>Colle (kg/m²)</t>
        </is>
      </c>
      <c r="B14" s="7" t="n">
        <v>1.2</v>
      </c>
    </row>
    <row r="15">
      <c r="A15" s="3" t="inlineStr">
        <is>
          <t>Primaire (kg/m², hypothèse)</t>
        </is>
      </c>
      <c r="B15" s="9" t="n">
        <v>0.15</v>
      </c>
    </row>
    <row r="16">
      <c r="A16" s="3" t="inlineStr">
        <is>
          <t>Plinthes (coupes)</t>
        </is>
      </c>
      <c r="B16" s="9" t="n">
        <v>0.05</v>
      </c>
    </row>
    <row r="18">
      <c r="A18" s="3" t="inlineStr">
        <is>
          <t>R de la sous-couche retenu (0 en pose collée)</t>
        </is>
      </c>
      <c r="B18" s="15">
        <f>IF(B6=1,0,B8)</f>
        <v/>
      </c>
    </row>
    <row r="19">
      <c r="A19" s="3" t="inlineStr">
        <is>
          <t>R total, non arrondi (m²K/W)</t>
        </is>
      </c>
      <c r="B19" s="12">
        <f>B7+B18</f>
        <v/>
      </c>
    </row>
    <row r="20">
      <c r="A20" s="3" t="inlineStr">
        <is>
          <t>R total (m²K/W)</t>
        </is>
      </c>
      <c r="B20" s="15">
        <f>ROUND(B19,3)</f>
        <v/>
      </c>
    </row>
    <row r="21">
      <c r="A21" s="3" t="inlineStr">
        <is>
          <t>R total admissible (1 oui)</t>
        </is>
      </c>
      <c r="B21" s="10">
        <f>IF(ROUND(B19,6)&lt;=B12,1,0)</f>
        <v/>
      </c>
    </row>
    <row r="22">
      <c r="A22" s="3" t="inlineStr">
        <is>
          <t>Humidité CM maximale (% CM)</t>
        </is>
      </c>
      <c r="B22" s="11">
        <f>IF(B9=1,IF(B10=1,1.5,1.8),IF(B10=1,0.3,0.5))</f>
        <v/>
      </c>
    </row>
    <row r="23">
      <c r="A23" s="3" t="inlineStr">
        <is>
          <t>Support apte (1 oui)</t>
        </is>
      </c>
      <c r="B23" s="10">
        <f>IF(ROUND(B11,6)&lt;=B22,1,0)</f>
        <v/>
      </c>
    </row>
    <row r="24">
      <c r="A24" s="3" t="inlineStr">
        <is>
          <t>Parquet à commander (m²)</t>
        </is>
      </c>
      <c r="B24" s="13">
        <f>ROUND(MAX(B4,0)*(1+B13),2)</f>
        <v/>
      </c>
    </row>
    <row r="25">
      <c r="A25" s="3" t="inlineStr">
        <is>
          <t>Colle (kg)</t>
        </is>
      </c>
      <c r="B25" s="11">
        <f>IF(B6=1,ROUND(MAX(B4,0)*B14,1),0)</f>
        <v/>
      </c>
    </row>
    <row r="26">
      <c r="A26" s="3" t="inlineStr">
        <is>
          <t>Primaire (kg)</t>
        </is>
      </c>
      <c r="B26" s="11">
        <f>IF(B6=1,ROUND(MAX(B4,0)*B15,1),0)</f>
        <v/>
      </c>
    </row>
    <row r="27">
      <c r="A27" s="3" t="inlineStr">
        <is>
          <t>Plinthes (ml)</t>
        </is>
      </c>
      <c r="B27" s="11">
        <f>ROUND(MAX(B5,0)*(1+B16),1)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92" customWidth="1" min="1" max="1"/>
    <col width="18" customWidth="1" min="2" max="2"/>
  </cols>
  <sheetData>
    <row r="1">
      <c r="A1" s="5" t="inlineStr">
        <is>
          <t>6.25 · Ragréage, sols souples, résines et contrôle du support (SIA 253, SIA 252)</t>
        </is>
      </c>
    </row>
    <row r="2">
      <c r="A2" s="6" t="inlineStr">
        <is>
          <t>Cellules jaunes = à saisir. Consommations du cahier des charges (SIA 253 et SIA 252 non consultées ; titre de la SIA 252 non retrouvé). Épaisseur de résine des systèmes 3 et 4 : paramètre ajouté. Équivalence R / GS de la glissance : non vérifiée.</t>
        </is>
      </c>
    </row>
    <row r="4">
      <c r="A4" s="3" t="inlineStr">
        <is>
          <t>Surface (m²)</t>
        </is>
      </c>
      <c r="B4" s="7" t="n">
        <v>120</v>
      </c>
    </row>
    <row r="5">
      <c r="A5" s="3" t="inlineStr">
        <is>
          <t>Ragréage (mm)</t>
        </is>
      </c>
      <c r="B5" s="7" t="n">
        <v>3</v>
      </c>
    </row>
    <row r="6">
      <c r="A6" s="3" t="inlineStr">
        <is>
          <t>Système (1 sol souple, 2 résine couche mince, 3 résine autolissante, 4 parking OS8 / OS11)</t>
        </is>
      </c>
      <c r="B6" s="8" t="n">
        <v>1</v>
      </c>
    </row>
    <row r="7">
      <c r="A7" s="3" t="inlineStr">
        <is>
          <t>Épaisseur de résine, systèmes 3 et 4 (mm)</t>
        </is>
      </c>
      <c r="B7" s="7" t="n">
        <v>2.5</v>
      </c>
    </row>
    <row r="8">
      <c r="A8" s="3" t="inlineStr">
        <is>
          <t>Primaire (kg/m²)</t>
        </is>
      </c>
      <c r="B8" s="9" t="n">
        <v>0.25</v>
      </c>
    </row>
    <row r="9">
      <c r="A9" s="3" t="inlineStr">
        <is>
          <t>Ragréage (kg/m² par mm)</t>
        </is>
      </c>
      <c r="B9" s="7" t="n">
        <v>1.5</v>
      </c>
    </row>
    <row r="10">
      <c r="A10" s="3" t="inlineStr">
        <is>
          <t>Sac (kg)</t>
        </is>
      </c>
      <c r="B10" s="8" t="n">
        <v>25</v>
      </c>
    </row>
    <row r="11">
      <c r="A11" s="3" t="inlineStr">
        <is>
          <t>Colle en dispersion (kg/m²)</t>
        </is>
      </c>
      <c r="B11" s="9" t="n">
        <v>0.32</v>
      </c>
    </row>
    <row r="12">
      <c r="A12" s="3" t="inlineStr">
        <is>
          <t>Résine (kg/m² par mm)</t>
        </is>
      </c>
      <c r="B12" s="9" t="n">
        <v>1.45</v>
      </c>
    </row>
    <row r="13">
      <c r="A13" s="3" t="inlineStr">
        <is>
          <t>Sable de quartz (kg/m²)</t>
        </is>
      </c>
      <c r="B13" s="7" t="n">
        <v>2.5</v>
      </c>
    </row>
    <row r="14">
      <c r="A14" s="3" t="inlineStr">
        <is>
          <t>Résine en couche mince (mm)</t>
        </is>
      </c>
      <c r="B14" s="7" t="n">
        <v>0.5</v>
      </c>
    </row>
    <row r="15">
      <c r="A15" s="3" t="inlineStr">
        <is>
          <t>Arrachement mesuré (N/mm²)</t>
        </is>
      </c>
      <c r="B15" s="9" t="n">
        <v>1.8</v>
      </c>
    </row>
    <row r="16">
      <c r="A16" s="3" t="inlineStr">
        <is>
          <t>Humidité du béton (%)</t>
        </is>
      </c>
      <c r="B16" s="7" t="n">
        <v>3</v>
      </c>
    </row>
    <row r="17">
      <c r="A17" s="3" t="inlineStr">
        <is>
          <t>Arrachement minimal (N/mm²)</t>
        </is>
      </c>
      <c r="B17" s="7" t="n">
        <v>1.5</v>
      </c>
    </row>
    <row r="18">
      <c r="A18" s="3" t="inlineStr">
        <is>
          <t>Humidité maximale du béton (%)</t>
        </is>
      </c>
      <c r="B18" s="7" t="n">
        <v>4</v>
      </c>
    </row>
    <row r="20">
      <c r="A20" s="3" t="inlineStr">
        <is>
          <t>Épaisseur de résine retenue (mm)</t>
        </is>
      </c>
      <c r="B20" s="11">
        <f>IF(B6=2,B14,IF(OR(B6=3,B6=4),MAX(B7,0),0))</f>
        <v/>
      </c>
    </row>
    <row r="21">
      <c r="A21" s="3" t="inlineStr">
        <is>
          <t>Primaire (kg)</t>
        </is>
      </c>
      <c r="B21" s="11">
        <f>ROUND(MAX(B4,0)*B8,1)</f>
        <v/>
      </c>
    </row>
    <row r="22">
      <c r="A22" s="3" t="inlineStr">
        <is>
          <t>Ragréage, non arrondi (kg)</t>
        </is>
      </c>
      <c r="B22" s="13">
        <f>MAX(B4,0)*B9*MAX(B5,0)</f>
        <v/>
      </c>
    </row>
    <row r="23">
      <c r="A23" s="3" t="inlineStr">
        <is>
          <t>Ragréage (kg)</t>
        </is>
      </c>
      <c r="B23" s="11">
        <f>ROUND(B22,1)</f>
        <v/>
      </c>
    </row>
    <row r="24">
      <c r="A24" s="3" t="inlineStr">
        <is>
          <t>Sacs de ragréage de 25 kg</t>
        </is>
      </c>
      <c r="B24" s="10">
        <f>ROUNDUP(ROUND(B22/B10,6),0)</f>
        <v/>
      </c>
    </row>
    <row r="25">
      <c r="A25" s="3" t="inlineStr">
        <is>
          <t>Colle en dispersion (kg)</t>
        </is>
      </c>
      <c r="B25" s="11">
        <f>IF(B6=1,ROUND(MAX(B4,0)*B11,1),0)</f>
        <v/>
      </c>
    </row>
    <row r="26">
      <c r="A26" s="3" t="inlineStr">
        <is>
          <t>Résine bi-composant (kg)</t>
        </is>
      </c>
      <c r="B26" s="11">
        <f>IF(B6=1,0,ROUND(MAX(B4,0)*B12*B20,1))</f>
        <v/>
      </c>
    </row>
    <row r="27">
      <c r="A27" s="3" t="inlineStr">
        <is>
          <t>Sable de quartz (kg)</t>
        </is>
      </c>
      <c r="B27" s="11">
        <f>IF(B6=4,ROUND(MAX(B4,0)*B13,1),0)</f>
        <v/>
      </c>
    </row>
    <row r="28">
      <c r="A28" s="3" t="inlineStr">
        <is>
          <t>Arrachement conforme (1 oui)</t>
        </is>
      </c>
      <c r="B28" s="10">
        <f>IF(ROUND(B15,6)&gt;=B17,1,0)</f>
        <v/>
      </c>
    </row>
    <row r="29">
      <c r="A29" s="3" t="inlineStr">
        <is>
          <t>Humidité du béton conforme (1 oui)</t>
        </is>
      </c>
      <c r="B29" s="10">
        <f>IF(ROUND(B16,6)&lt;=B18,1,0)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2026-11-06T17:33:37Z</dcterms:created>
  <dcterms:modified xsi:type="dcterms:W3CDTF">2026-11-06T17:33:37Z</dcterms:modified>
</cp:coreProperties>
</file>